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EDM\36_Gas-Ahrtalwerke\"/>
    </mc:Choice>
  </mc:AlternateContent>
  <xr:revisionPtr revIDLastSave="0" documentId="8_{7F91F7B0-5ABB-4B65-96FD-CBB5185E7E10}" xr6:coauthVersionLast="47" xr6:coauthVersionMax="47" xr10:uidLastSave="{00000000-0000-0000-0000-000000000000}"/>
  <bookViews>
    <workbookView xWindow="57480" yWindow="-120" windowWidth="29040" windowHeight="176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D21" i="15" l="1"/>
  <c r="F27" i="7" l="1"/>
  <c r="H27" i="7"/>
  <c r="I27" i="7"/>
  <c r="J27" i="7"/>
  <c r="Q27" i="7" s="1"/>
  <c r="K27" i="7"/>
  <c r="L27" i="7"/>
  <c r="M27" i="7"/>
  <c r="N27" i="7"/>
  <c r="O27" i="7"/>
  <c r="P27" i="7"/>
  <c r="R27" i="7"/>
  <c r="X27" i="7" s="1"/>
  <c r="S27" i="7"/>
  <c r="T27" i="7"/>
  <c r="U27" i="7"/>
  <c r="V27" i="7"/>
  <c r="W27" i="7"/>
  <c r="F28" i="7"/>
  <c r="H28" i="7"/>
  <c r="I28" i="7"/>
  <c r="J28" i="7"/>
  <c r="K28" i="7"/>
  <c r="L28" i="7"/>
  <c r="M28" i="7"/>
  <c r="N28" i="7"/>
  <c r="O28" i="7"/>
  <c r="P28" i="7"/>
  <c r="Q28" i="7" s="1"/>
  <c r="R28" i="7"/>
  <c r="S28" i="7"/>
  <c r="T28" i="7"/>
  <c r="X28" i="7" s="1"/>
  <c r="U28" i="7"/>
  <c r="V28" i="7"/>
  <c r="W28" i="7"/>
  <c r="F29" i="7"/>
  <c r="H29" i="7"/>
  <c r="I29" i="7"/>
  <c r="J29" i="7"/>
  <c r="K29" i="7"/>
  <c r="L29" i="7"/>
  <c r="Q29" i="7" s="1"/>
  <c r="M29" i="7"/>
  <c r="N29" i="7"/>
  <c r="O29" i="7"/>
  <c r="P29" i="7"/>
  <c r="R29" i="7"/>
  <c r="X29" i="7" s="1"/>
  <c r="S29" i="7"/>
  <c r="T29" i="7"/>
  <c r="U29" i="7"/>
  <c r="V29" i="7"/>
  <c r="W29" i="7"/>
  <c r="F30" i="7"/>
  <c r="H30" i="7"/>
  <c r="I30" i="7"/>
  <c r="J30" i="7"/>
  <c r="K30" i="7"/>
  <c r="L30" i="7"/>
  <c r="Q30" i="7" s="1"/>
  <c r="M30" i="7"/>
  <c r="N30" i="7"/>
  <c r="O30" i="7"/>
  <c r="P30" i="7"/>
  <c r="R30" i="7"/>
  <c r="X30" i="7" s="1"/>
  <c r="S30" i="7"/>
  <c r="T30" i="7"/>
  <c r="U30" i="7"/>
  <c r="V30" i="7"/>
  <c r="W30" i="7"/>
  <c r="F31" i="7"/>
  <c r="H31" i="7"/>
  <c r="Q31" i="7" s="1"/>
  <c r="I31" i="7"/>
  <c r="J31" i="7"/>
  <c r="K31" i="7"/>
  <c r="L31" i="7"/>
  <c r="M31" i="7"/>
  <c r="N31" i="7"/>
  <c r="O31" i="7"/>
  <c r="P31" i="7"/>
  <c r="R31" i="7"/>
  <c r="X31" i="7" s="1"/>
  <c r="S31" i="7"/>
  <c r="T31" i="7"/>
  <c r="U31" i="7"/>
  <c r="V31" i="7"/>
  <c r="W31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H20" i="7"/>
  <c r="I20" i="7"/>
  <c r="Q20" i="7" s="1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X21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H25" i="7"/>
  <c r="I25" i="7"/>
  <c r="J25" i="7"/>
  <c r="K25" i="7"/>
  <c r="L25" i="7"/>
  <c r="M25" i="7"/>
  <c r="N25" i="7"/>
  <c r="O25" i="7"/>
  <c r="P25" i="7"/>
  <c r="R25" i="7"/>
  <c r="S25" i="7"/>
  <c r="T25" i="7"/>
  <c r="U25" i="7"/>
  <c r="V25" i="7"/>
  <c r="W25" i="7"/>
  <c r="X25" i="7"/>
  <c r="H26" i="7"/>
  <c r="I26" i="7"/>
  <c r="J26" i="7"/>
  <c r="K26" i="7"/>
  <c r="L26" i="7"/>
  <c r="M26" i="7"/>
  <c r="N26" i="7"/>
  <c r="O26" i="7"/>
  <c r="P26" i="7"/>
  <c r="R26" i="7"/>
  <c r="S26" i="7"/>
  <c r="T26" i="7"/>
  <c r="U26" i="7"/>
  <c r="V26" i="7"/>
  <c r="W26" i="7"/>
  <c r="F18" i="7"/>
  <c r="F19" i="7"/>
  <c r="F20" i="7"/>
  <c r="F21" i="7"/>
  <c r="F22" i="7"/>
  <c r="F23" i="7"/>
  <c r="F24" i="7"/>
  <c r="F25" i="7"/>
  <c r="F26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F17" i="7"/>
  <c r="H16" i="7"/>
  <c r="I16" i="7"/>
  <c r="J16" i="7"/>
  <c r="K16" i="7"/>
  <c r="L16" i="7"/>
  <c r="M16" i="7"/>
  <c r="N16" i="7"/>
  <c r="O16" i="7"/>
  <c r="P16" i="7"/>
  <c r="R16" i="7"/>
  <c r="X16" i="7" s="1"/>
  <c r="S16" i="7"/>
  <c r="T16" i="7"/>
  <c r="U16" i="7"/>
  <c r="V16" i="7"/>
  <c r="W16" i="7"/>
  <c r="F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23" i="7" l="1"/>
  <c r="Q26" i="7"/>
  <c r="Q16" i="7"/>
  <c r="Q17" i="7"/>
  <c r="X14" i="7"/>
  <c r="X23" i="7"/>
  <c r="Q21" i="7"/>
  <c r="X17" i="7"/>
  <c r="X22" i="7"/>
  <c r="X26" i="7"/>
  <c r="Q18" i="7"/>
  <c r="Q24" i="7"/>
  <c r="Q25" i="7"/>
  <c r="X19" i="7"/>
  <c r="X24" i="7"/>
  <c r="Q22" i="7"/>
  <c r="X20" i="7"/>
  <c r="Q19" i="7"/>
  <c r="X18" i="7"/>
  <c r="Q12" i="7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H32" i="17" s="1"/>
  <c r="J32" i="17" l="1"/>
  <c r="N32" i="17"/>
  <c r="G32" i="17"/>
  <c r="K32" i="17"/>
  <c r="F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<sst xmlns="http://schemas.openxmlformats.org/spreadsheetml/2006/main" count="1411" uniqueCount="679">
  <si>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</si>
  <si>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</si>
  <si>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</si>
  <si>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</si>
  <si>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</si>
  <si>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</si>
  <si>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</si>
  <si>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</si>
  <si>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</si>
  <si>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</si>
  <si>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</si>
  <si>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</si>
  <si>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</si>
  <si>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</si>
  <si>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</si>
  <si>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</si>
  <si>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</si>
  <si>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</si>
  <si>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</si>
  <si>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</si>
  <si>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</si>
  <si>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</si>
  <si>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</si>
  <si>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</si>
  <si>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</si>
  <si>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</si>
  <si>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</si>
  <si>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</si>
  <si>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</si>
  <si>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</si>
  <si>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</si>
  <si>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</si>
  <si>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</si>
  <si>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</si>
  <si>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</si>
  <si>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</si>
  <si>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</si>
  <si>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</si>
  <si>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</si>
  <si>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</si>
  <si>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</si>
  <si>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</si>
  <si>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</si>
  <si>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</si>
  <si>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</si>
  <si>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</si>
  <si>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</si>
  <si>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</si>
  <si>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</si>
  <si>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</si>
  <si>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</si>
  <si>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</si>
  <si>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</si>
  <si>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</si>
  <si>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</si>
  <si>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</si>
  <si>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</si>
  <si>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</si>
  <si>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</si>
  <si>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</si>
  <si>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</si>
  <si>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</si>
  <si>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</si>
  <si>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</si>
  <si>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</si>
  <si>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</si>
  <si>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</si>
  <si>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</si>
  <si>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</si>
  <si>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</si>
  <si>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</si>
  <si>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</si>
  <si>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</si>
  <si>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</si>
  <si>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</si>
  <si>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</si>
  <si>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</si>
  <si>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</si>
  <si>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</si>
  <si>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</si>
  <si>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</si>
  <si>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</si>
  <si>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</si>
  <si>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</si>
  <si>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</si>
  <si>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</si>
  <si>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</si>
  <si>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</si>
  <si>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</si>
  <si>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</si>
  <si>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</si>
  <si>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</si>
  <si>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</si>
  <si>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</si>
  <si>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</si>
  <si>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</si>
  <si>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</si>
  <si>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</si>
  <si>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</si>
  <si>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</si>
  <si>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</si>
  <si>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</si>
  <si>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</si>
  <si>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</si>
  <si>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</si>
  <si>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</si>
  <si>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</si>
  <si>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</si>
  <si>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</si>
  <si>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</si>
  <si>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</si>
  <si>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</si>
  <si>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</si>
  <si>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</si>
  <si>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</si>
  <si>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</si>
  <si>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</si>
  <si>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</si>
  <si>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</si>
  <si>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</si>
  <si>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</si>
  <si>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</si>
  <si>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</si>
  <si>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</si>
  <si>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</si>
  <si>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</si>
  <si>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</si>
  <si>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</si>
  <si>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</si>
  <si>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</si>
  <si>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</si>
  <si>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</si>
  <si>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</si>
  <si>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</si>
  <si>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</si>
  <si>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</si>
  <si>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</si>
  <si>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</si>
  <si>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</si>
  <si>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</si>
  <si>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</si>
  <si>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</si>
  <si>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</si>
  <si>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</si>
  <si>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</si>
  <si>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</si>
  <si>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</si>
  <si>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</si>
  <si>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</si>
  <si>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</si>
  <si>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</si>
  <si>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</si>
  <si>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</si>
  <si>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</si>
  <si>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</si>
  <si>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</si>
  <si>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</si>
  <si>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</si>
  <si>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</si>
  <si>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</si>
  <si>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</si>
  <si>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</si>
  <si>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</si>
  <si>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</si>
  <si>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</si>
  <si>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</si>
  <si>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</si>
  <si>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</si>
  <si>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</si>
  <si>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</si>
  <si>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</si>
  <si>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</si>
  <si>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</si>
  <si>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</si>
  <si>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</si>
  <si>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</si>
  <si>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</si>
  <si>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</si>
  <si>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</si>
  <si>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</si>
  <si>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</si>
  <si>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</si>
  <si>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</si>
  <si>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</si>
  <si>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</si>
  <si>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</si>
  <si>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</si>
  <si>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</si>
  <si>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</si>
  <si>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</si>
  <si>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</si>
  <si>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</si>
  <si>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</si>
  <si>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</si>
  <si>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</si>
  <si>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</si>
  <si>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</si>
  <si>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</si>
  <si>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</si>
  <si>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</si>
  <si>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</si>
  <si>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</si>
  <si>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</si>
  <si>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</si>
  <si>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</si>
  <si>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</si>
  <si>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</si>
  <si>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</si>
  <si>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</si>
  <si>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</si>
  <si>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</si>
  <si>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</si>
  <si>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</si>
  <si>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</si>
  <si>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</si>
  <si>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</si>
  <si>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</si>
  <si>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</si>
  <si>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</si>
  <si>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</si>
  <si>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</si>
  <si>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</si>
  <si>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</si>
  <si>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</si>
  <si>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</si>
  <si>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</si>
  <si>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</si>
  <si>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</si>
  <si>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</si>
  <si>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</si>
  <si>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</si>
  <si>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</si>
  <si>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</si>
  <si>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</si>
  <si>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</si>
  <si>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</si>
  <si>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</si>
  <si>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</si>
  <si>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</si>
  <si>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</si>
  <si>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</si>
  <si>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</si>
  <si>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</si>
  <si>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</si>
  <si>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</si>
  <si>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</si>
  <si>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</si>
  <si>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</si>
  <si>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</si>
  <si>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</si>
  <si>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</si>
  <si>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</si>
  <si>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</si>
  <si>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</si>
  <si>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</si>
  <si>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</si>
  <si>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</si>
  <si>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</si>
  <si>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</si>
  <si>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</si>
  <si>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</si>
  <si>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</si>
  <si>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</si>
  <si>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</si>
  <si>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</si>
  <si>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</si>
  <si>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</si>
  <si>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</si>
  <si>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</si>
  <si>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</si>
  <si>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</si>
  <si>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</si>
  <si>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</si>
  <si>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</si>
  <si>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</si>
  <si>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</si>
  <si>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</si>
  <si>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</si>
  <si>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</si>
  <si>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</si>
  <si>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</si>
  <si>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</si>
  <si>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</si>
  <si>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</si>
  <si>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</si>
  <si>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</si>
  <si>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</si>
  <si>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</si>
  <si>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</si>
  <si>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</si>
  <si>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</si>
  <si>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</si>
  <si>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</si>
  <si>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</si>
  <si>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</si>
  <si>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</si>
  <si>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</si>
  <si>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</si>
  <si>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</si>
  <si>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</si>
  <si>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</si>
  <si>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</si>
  <si>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</si>
  <si>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</si>
  <si>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</si>
  <si>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</si>
  <si>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</si>
  <si>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</si>
  <si>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</si>
  <si>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</si>
  <si>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</si>
  <si>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</si>
  <si>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</si>
  <si>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</si>
  <si>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</si>
  <si>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</si>
  <si>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</si>
  <si>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</si>
  <si>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</si>
  <si>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</si>
  <si>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</si>
  <si>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</si>
  <si>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</si>
  <si>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</si>
  <si>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</si>
  <si>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</si>
  <si>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</si>
  <si>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</si>
  <si>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</si>
  <si>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</si>
  <si>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</si>
  <si>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</si>
  <si>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</si>
  <si>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</si>
  <si>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</si>
  <si>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</si>
  <si>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</si>
  <si>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</si>
  <si>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</si>
  <si>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</si>
  <si>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</si>
  <si>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</si>
  <si>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</si>
  <si>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</si>
  <si>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</si>
  <si>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</si>
  <si>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</si>
  <si>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</si>
  <si>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</si>
  <si>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</si>
  <si>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</si>
  <si>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</si>
  <si>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</si>
  <si>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</si>
  <si>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</si>
  <si>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</si>
  <si>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</si>
  <si>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</si>
  <si>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</si>
  <si>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</si>
  <si>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</si>
  <si>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</si>
  <si>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</si>
  <si>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</si>
  <si>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</si>
  <si>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</si>
  <si>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</si>
  <si>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</si>
  <si>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</si>
  <si>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</si>
  <si>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</si>
  <si>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</si>
  <si>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</si>
  <si>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</si>
  <si>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</si>
  <si>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</si>
  <si>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</si>
  <si>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</si>
  <si>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</si>
  <si>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</si>
  <si>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</si>
  <si>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</si>
  <si>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</si>
  <si>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</si>
  <si>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</si>
  <si>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</si>
  <si>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</si>
  <si>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</si>
  <si>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</si>
  <si>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</si>
  <si>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</si>
  <si>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</si>
  <si>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</si>
  <si>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</si>
  <si>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</si>
  <si>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</si>
  <si>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</si>
  <si>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</si>
  <si>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</si>
  <si>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</si>
  <si>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</si>
  <si>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</si>
  <si>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</si>
  <si>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</si>
  <si>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</si>
  <si>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</si>
  <si>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</si>
  <si>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</si>
  <si>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</si>
  <si>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</si>
  <si>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</si>
  <si>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</si>
  <si>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</si>
  <si>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</si>
  <si>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</si>
  <si>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</si>
  <si>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</si>
  <si>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</si>
  <si>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</si>
  <si>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</si>
  <si>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</si>
  <si>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</si>
  <si>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</si>
  <si>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</si>
  <si>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</si>
  <si>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</si>
  <si>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</si>
  <si>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</si>
  <si>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</si>
  <si>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</si>
  <si>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</si>
  <si>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</si>
  <si>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</si>
  <si>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</si>
  <si>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</si>
  <si>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</si>
  <si>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</si>
  <si>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</si>
  <si>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</si>
  <si>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</si>
  <si>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</si>
  <si>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</si>
  <si>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</si>
  <si>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</si>
  <si>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</si>
  <si>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</si>
  <si>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</si>
  <si>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</si>
  <si>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</si>
  <si>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</si>
  <si>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</si>
  <si>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</si>
  <si>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</si>
  <si>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</si>
  <si>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</si>
  <si>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</si>
  <si>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</si>
  <si>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</si>
  <si>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</si>
  <si>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</si>
  <si>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</si>
  <si>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</si>
  <si>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</si>
  <si>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</si>
  <si>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</si>
  <si>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</si>
  <si>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</si>
  <si>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</si>
  <si>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</si>
  <si>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</si>
  <si>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</si>
  <si>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</si>
  <si>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</si>
  <si>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</si>
  <si>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</si>
  <si>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</si>
  <si>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</si>
  <si>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</si>
  <si>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</si>
  <si>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</si>
  <si>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</si>
  <si>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</si>
  <si>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</si>
  <si>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</si>
  <si>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</si>
  <si>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</si>
  <si>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</si>
  <si>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</si>
  <si>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</si>
  <si>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</si>
  <si>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</si>
  <si>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</si>
  <si>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</si>
  <si>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</si>
  <si>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</si>
  <si>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</si>
  <si>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</si>
  <si>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</si>
  <si>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</si>
  <si>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</si>
  <si>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</si>
  <si>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</si>
  <si>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</si>
  <si>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</si>
  <si>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</si>
  <si>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</si>
  <si>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</si>
  <si>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</si>
  <si>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</si>
  <si>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</si>
  <si>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</si>
  <si>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</si>
  <si>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</si>
  <si>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</si>
  <si>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</si>
  <si>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</si>
  <si>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</si>
  <si>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</si>
  <si>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</si>
  <si>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</si>
  <si>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</si>
  <si>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</si>
  <si>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</si>
  <si>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</si>
  <si>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</si>
  <si>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</si>
  <si>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</si>
  <si>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</si>
  <si>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</si>
  <si>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</si>
  <si>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</si>
  <si>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</si>
  <si>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</si>
  <si>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</si>
  <si>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</si>
  <si>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</si>
  <si>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</si>
  <si>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</si>
  <si>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</si>
  <si>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</si>
  <si>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</si>
  <si>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</si>
  <si>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</si>
  <si>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</si>
  <si>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</si>
  <si>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</si>
  <si>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</si>
  <si>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</si>
  <si>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</si>
  <si>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</si>
  <si>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</si>
  <si>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</si>
  <si>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</si>
  <si>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</si>
  <si>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</si>
  <si>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</si>
  <si>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</si>
  <si>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</si>
  <si>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</si>
  <si>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</si>
  <si>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</si>
  <si>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</si>
  <si>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</si>
  <si>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</si>
  <si>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</si>
  <si>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</si>
  <si>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</si>
  <si>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</si>
  <si>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</si>
  <si>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</si>
  <si>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</si>
  <si>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</si>
  <si>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</si>
  <si>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</si>
  <si>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</si>
  <si>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</si>
  <si>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</si>
  <si>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</si>
  <si>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</si>
  <si>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</si>
  <si>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</si>
  <si>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</si>
  <si>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</si>
  <si>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</si>
  <si>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</si>
  <si>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</si>
  <si>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</si>
  <si>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</si>
  <si>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</si>
  <si>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</si>
  <si>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</si>
  <si>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</si>
  <si>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</si>
  <si>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</si>
  <si>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</si>
  <si>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</si>
  <si>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</si>
  <si>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</si>
  <si>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</si>
  <si>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</si>
  <si>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</si>
  <si>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</si>
  <si>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</si>
  <si>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</si>
  <si>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</si>
  <si>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</si>
  <si>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</si>
  <si>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</si>
  <si>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</si>
  <si>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</si>
  <si>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</si>
  <si>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</si>
  <si>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</si>
  <si>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</si>
  <si>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</si>
  <si>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</si>
  <si>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</si>
  <si>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</si>
  <si>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</si>
  <si>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</si>
  <si>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</si>
  <si>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</si>
  <si>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</si>
  <si>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</si>
  <si>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</si>
  <si>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</si>
  <si>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</si>
  <si>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</si>
  <si>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</si>
  <si>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</si>
  <si>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</si>
  <si>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</si>
  <si>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</si>
  <si>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</si>
  <si>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</si>
  <si>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</si>
  <si>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</si>
  <si>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</si>
  <si>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</si>
  <si>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</si>
  <si>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</si>
  <si>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</si>
  <si>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</si>
  <si>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</si>
  <si>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</si>
  <si>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</si>
  <si>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</si>
  <si>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</si>
  <si>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</si>
  <si>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</si>
  <si>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</si>
  <si>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</si>
  <si>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</si>
  <si>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</si>
  <si>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</si>
  <si>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DE_GBA04</t>
  </si>
  <si>
    <t>DE_GBH04</t>
  </si>
  <si>
    <t>DE_GKO04</t>
  </si>
  <si>
    <t>DE_GGB04</t>
  </si>
  <si>
    <t>DE_GGA02</t>
  </si>
  <si>
    <t>DE_GGA03</t>
  </si>
  <si>
    <t>DE_GGA04</t>
  </si>
  <si>
    <t>DE_GHA02</t>
  </si>
  <si>
    <t>DE_GHA03</t>
  </si>
  <si>
    <t>DE_GHA04</t>
  </si>
  <si>
    <t>DE_GMF04</t>
  </si>
  <si>
    <t>DE_GMK04</t>
  </si>
  <si>
    <t>DE_GPD04</t>
  </si>
  <si>
    <t>DE_GBD03</t>
  </si>
  <si>
    <t>DE_GBD04</t>
  </si>
  <si>
    <t>DE_GWA04</t>
  </si>
  <si>
    <t>Ahrtal-Werke GmbH</t>
  </si>
  <si>
    <t>Dahlienweg 25</t>
  </si>
  <si>
    <t>Bad Neuenahr-Ahrweiler</t>
  </si>
  <si>
    <t>Simon Barho</t>
  </si>
  <si>
    <t>edm.gas@stadtwerke-hall.de</t>
  </si>
  <si>
    <t>THE0NKH701345000</t>
  </si>
  <si>
    <t>DTN</t>
  </si>
  <si>
    <t>0791/401-960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</si>
</sst>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  <numFmt numFmtId="194" formatCode="0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94" fontId="0" fillId="33" borderId="17" xfId="0" applyNumberFormat="1" applyFill="1" applyBorder="1" applyAlignment="1" applyProtection="1">
      <alignment horizontal="center"/>
      <protection locked="0"/>
    </xf>
    <xf numFmtId="0" fontId="16" fillId="33" borderId="17" xfId="0" applyFont="1" applyFill="1" applyBorder="1" applyAlignment="1" applyProtection="1">
      <alignment horizontal="center" vertical="center"/>
      <protection locked="0"/>
    </xf>
    <xf numFmtId="194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2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35" sqref="D35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8" t="s">
        <v>499</v>
      </c>
      <c r="D4" s="17">
        <v>45586</v>
      </c>
      <c r="F4" s="8"/>
    </row>
    <row r="5" spans="2:6" ht="15" customHeight="1">
      <c r="B5" s="16"/>
    </row>
    <row r="6" spans="2:6" ht="15" customHeight="1">
      <c r="B6" s="16"/>
      <c r="C6" s="48" t="s">
        <v>500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671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3">
        <v>9870134500007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84" t="s">
        <v>672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53474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673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674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31" t="s">
        <v>675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678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7" t="s">
        <v>498</v>
      </c>
      <c r="D28" s="33" t="str">
        <f>IF(D27&lt;&gt;C28,VLOOKUP(D27,$C$29:$D$48,2,FALSE),C28)</f>
        <v>Ahrtal-Werke GmbH</v>
      </c>
      <c r="E28" s="26"/>
    </row>
    <row r="29" spans="2:15">
      <c r="C29" s="16" t="s">
        <v>392</v>
      </c>
      <c r="D29" s="32" t="s">
        <v>671</v>
      </c>
      <c r="E29" s="28"/>
    </row>
    <row r="30" spans="2:15">
      <c r="C30" s="16" t="s">
        <v>393</v>
      </c>
      <c r="D30" s="32"/>
      <c r="E30" s="28"/>
    </row>
    <row r="31" spans="2:15">
      <c r="C31" s="16" t="s">
        <v>418</v>
      </c>
      <c r="D31" s="32"/>
      <c r="E31" s="28"/>
    </row>
    <row r="32" spans="2:15">
      <c r="C32" s="16" t="s">
        <v>419</v>
      </c>
      <c r="D32" s="32"/>
      <c r="E32" s="28"/>
    </row>
    <row r="33" spans="3:5">
      <c r="C33" s="16" t="s">
        <v>420</v>
      </c>
      <c r="D33" s="32"/>
      <c r="E33" s="28"/>
    </row>
    <row r="34" spans="3:5">
      <c r="C34" s="16" t="s">
        <v>421</v>
      </c>
      <c r="D34" s="32"/>
      <c r="E34" s="28"/>
    </row>
    <row r="35" spans="3:5">
      <c r="C35" s="16" t="s">
        <v>422</v>
      </c>
      <c r="D35" s="32"/>
      <c r="E35" s="28"/>
    </row>
    <row r="36" spans="3:5">
      <c r="C36" s="16" t="s">
        <v>423</v>
      </c>
      <c r="D36" s="32"/>
      <c r="E36" s="28"/>
    </row>
    <row r="37" spans="3:5">
      <c r="C37" s="16" t="s">
        <v>424</v>
      </c>
      <c r="D37" s="32"/>
      <c r="E37" s="28"/>
    </row>
    <row r="38" spans="3:5">
      <c r="C38" s="16" t="s">
        <v>427</v>
      </c>
      <c r="D38" s="32"/>
      <c r="E38" s="28"/>
    </row>
    <row r="39" spans="3:5">
      <c r="C39" s="16" t="s">
        <v>428</v>
      </c>
      <c r="D39" s="32"/>
      <c r="E39" s="28"/>
    </row>
    <row r="40" spans="3:5">
      <c r="C40" s="16" t="s">
        <v>429</v>
      </c>
      <c r="D40" s="32"/>
      <c r="E40" s="28"/>
    </row>
    <row r="41" spans="3:5">
      <c r="C41" s="16" t="s">
        <v>430</v>
      </c>
      <c r="D41" s="32"/>
      <c r="E41" s="28"/>
    </row>
    <row r="42" spans="3:5">
      <c r="C42" s="16" t="s">
        <v>431</v>
      </c>
      <c r="D42" s="32"/>
      <c r="E42" s="28"/>
    </row>
    <row r="43" spans="3:5">
      <c r="C43" s="16" t="s">
        <v>432</v>
      </c>
      <c r="D43" s="32"/>
      <c r="E43" s="28"/>
    </row>
    <row r="44" spans="3:5">
      <c r="C44" s="16" t="s">
        <v>433</v>
      </c>
      <c r="D44" s="32"/>
      <c r="E44" s="28"/>
    </row>
    <row r="45" spans="3:5">
      <c r="C45" s="16" t="s">
        <v>434</v>
      </c>
      <c r="D45" s="32"/>
      <c r="E45" s="28"/>
    </row>
    <row r="46" spans="3:5">
      <c r="C46" s="16" t="s">
        <v>435</v>
      </c>
      <c r="D46" s="32"/>
      <c r="E46" s="28"/>
    </row>
    <row r="47" spans="3:5">
      <c r="C47" s="16" t="s">
        <v>436</v>
      </c>
      <c r="D47" s="32"/>
      <c r="E47" s="28"/>
    </row>
    <row r="48" spans="3:5">
      <c r="C48" s="16" t="s">
        <v>437</v>
      </c>
      <c r="D48" s="32"/>
      <c r="E48" s="28"/>
    </row>
    <row r="49"/>
    <row r="50"/>
  </sheetData>
  <conditionalFormatting sqref="D29:D48">
    <cfRule type="expression" dxfId="47" priority="1">
      <formula>IF(CELL("Zeile",D29)&lt;$D$25+CELL("Zeile",$D$29),1,0)</formula>
    </cfRule>
  </conditionalFormatting>
  <conditionalFormatting sqref="D30:D48">
    <cfRule type="expression" dxfId="46" priority="2">
      <formula>IF(CELL(D30)&lt;$D$27+27,1,0)</formula>
    </cfRule>
  </conditionalFormatting>
  <dataValidations count="2">
    <dataValidation type="whole" allowBlank="1" showInputMessage="1" showErrorMessage="1" sqref="D25" xr:uid="{A89EA49B-4F5D-4A8A-8430-CEE59963BC4D}">
      <formula1>1</formula1>
      <formula2>20</formula2>
    </dataValidation>
    <dataValidation type="list" allowBlank="1" showInputMessage="1" showErrorMessage="1" sqref="D27" xr:uid="{6B28EEFF-48E4-43FB-8F9F-515A3F38FFF3}">
      <formula1>$C$28:$C$48</formula1>
    </dataValidation>
  </dataValidations>
  <hyperlinks>
    <hyperlink ref="D21" r:id="rId1" display="max.mustermann@muster.de" xr:uid="{CB841071-37D9-4D7A-B1B9-4362272546E4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23" sqref="D2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40" t="s">
        <v>441</v>
      </c>
      <c r="D5" s="42" t="str">
        <f>Netzbetreiber!$D$9</f>
        <v>Ahrtal-Werke GmbH</v>
      </c>
      <c r="H5" s="49"/>
      <c r="I5" s="49"/>
      <c r="J5" s="49"/>
      <c r="K5" s="49"/>
    </row>
    <row r="6" spans="2:15" ht="15" customHeight="1">
      <c r="B6" s="16"/>
      <c r="C6" s="45" t="s">
        <v>440</v>
      </c>
      <c r="D6" s="42" t="str">
        <f>Netzbetreiber!D28</f>
        <v>Ahrtal-Werke GmbH</v>
      </c>
      <c r="H6" s="49"/>
      <c r="I6" s="49"/>
      <c r="J6" s="49"/>
      <c r="K6" s="49"/>
    </row>
    <row r="7" spans="2:15" ht="15" customHeight="1">
      <c r="B7" s="16"/>
      <c r="C7" s="40" t="s">
        <v>484</v>
      </c>
      <c r="D7" s="285">
        <f>Netzbetreiber!$D$11</f>
        <v>9870134500007</v>
      </c>
      <c r="H7" s="49"/>
      <c r="I7" s="49"/>
      <c r="J7" s="49"/>
      <c r="K7" s="49"/>
    </row>
    <row r="8" spans="2:15" ht="15" customHeight="1">
      <c r="B8" s="16"/>
      <c r="C8" s="40" t="s">
        <v>132</v>
      </c>
      <c r="D8" s="35">
        <f>Netzbetreiber!$D$6</f>
        <v>45658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9" t="s">
        <v>614</v>
      </c>
      <c r="I11" s="229" t="s">
        <v>615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651</v>
      </c>
      <c r="D13" s="29" t="s">
        <v>676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82</v>
      </c>
      <c r="C15" s="20" t="s">
        <v>365</v>
      </c>
      <c r="D15" s="34" t="s">
        <v>256</v>
      </c>
      <c r="H15" s="227" t="s">
        <v>256</v>
      </c>
      <c r="I15" s="227" t="s">
        <v>134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573</v>
      </c>
      <c r="I16" s="228" t="s">
        <v>485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83</v>
      </c>
      <c r="C19" t="s">
        <v>611</v>
      </c>
      <c r="D19" s="34" t="s">
        <v>607</v>
      </c>
      <c r="H19" s="225" t="s">
        <v>607</v>
      </c>
      <c r="I19" s="225" t="s">
        <v>608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609</v>
      </c>
      <c r="H20" s="225" t="s">
        <v>610</v>
      </c>
      <c r="I20" t="s">
        <v>606</v>
      </c>
      <c r="J20"/>
      <c r="K20"/>
      <c r="L20" s="226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5" t="s">
        <v>609</v>
      </c>
      <c r="I21" s="225" t="s">
        <v>616</v>
      </c>
      <c r="J21"/>
      <c r="K21"/>
      <c r="L21" s="228" t="s">
        <v>617</v>
      </c>
      <c r="M21" s="228" t="s">
        <v>619</v>
      </c>
      <c r="N21" s="228" t="s">
        <v>618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84</v>
      </c>
      <c r="C23" s="4" t="s">
        <v>576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>
      <c r="B24" s="5"/>
      <c r="C24" s="4" t="s">
        <v>620</v>
      </c>
      <c r="D24" s="29" t="s">
        <v>621</v>
      </c>
      <c r="H24" s="253" t="s">
        <v>621</v>
      </c>
      <c r="I24" s="227" t="s">
        <v>622</v>
      </c>
      <c r="J24" s="227" t="s">
        <v>623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624</v>
      </c>
      <c r="I25" s="228" t="s">
        <v>625</v>
      </c>
      <c r="J25" s="228" t="s">
        <v>626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627</v>
      </c>
      <c r="I26" s="228" t="s">
        <v>628</v>
      </c>
      <c r="J26" s="228" t="s">
        <v>629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367</v>
      </c>
      <c r="C28" s="4" t="s">
        <v>575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630</v>
      </c>
      <c r="I29" s="228" t="s">
        <v>631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632</v>
      </c>
      <c r="I30" s="225" t="s">
        <v>627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490</v>
      </c>
      <c r="C32" s="2" t="s">
        <v>492</v>
      </c>
      <c r="D32" s="222">
        <v>20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547</v>
      </c>
      <c r="C34" s="3" t="s">
        <v>362</v>
      </c>
      <c r="D34" s="22">
        <v>1500000</v>
      </c>
      <c r="I34" s="225"/>
      <c r="J34" s="225"/>
      <c r="K34" s="225"/>
      <c r="L34" s="225"/>
      <c r="M34" s="226"/>
    </row>
    <row r="35" spans="2:22" ht="15" customHeight="1">
      <c r="C35" t="s">
        <v>488</v>
      </c>
      <c r="E35" t="s">
        <v>505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9"/>
      <c r="I37" s="49"/>
      <c r="J37" s="49"/>
      <c r="K37" s="49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40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2" t="s">
        <v>673</v>
      </c>
    </row>
    <row r="46" spans="2:22" ht="18" customHeight="1">
      <c r="C46" s="16" t="s">
        <v>585</v>
      </c>
      <c r="D46" s="32"/>
    </row>
    <row r="47" spans="2:22" ht="18" customHeight="1">
      <c r="C47" s="16" t="s">
        <v>586</v>
      </c>
      <c r="D47" s="32"/>
    </row>
    <row r="48" spans="2:22" ht="18" customHeight="1">
      <c r="C48" s="16" t="s">
        <v>587</v>
      </c>
      <c r="D48" s="32"/>
    </row>
    <row r="49" spans="3:4" ht="18" customHeight="1">
      <c r="C49" s="16" t="s">
        <v>588</v>
      </c>
      <c r="D49" s="32"/>
    </row>
    <row r="50" spans="3:4" ht="18" customHeight="1">
      <c r="C50" s="16" t="s">
        <v>589</v>
      </c>
      <c r="D50" s="32"/>
    </row>
    <row r="51" spans="3:4" ht="18" customHeight="1">
      <c r="C51" s="16" t="s">
        <v>590</v>
      </c>
      <c r="D51" s="32"/>
    </row>
    <row r="52" spans="3:4" ht="18" customHeight="1">
      <c r="C52" s="16" t="s">
        <v>591</v>
      </c>
      <c r="D52" s="32"/>
    </row>
    <row r="53" spans="3:4" ht="18" customHeight="1">
      <c r="C53" s="16" t="s">
        <v>592</v>
      </c>
      <c r="D53" s="32"/>
    </row>
    <row r="54" spans="3:4" ht="18" customHeight="1">
      <c r="C54" s="16" t="s">
        <v>593</v>
      </c>
      <c r="D54" s="32"/>
    </row>
    <row r="55" spans="3:4" ht="18" customHeight="1">
      <c r="C55" s="16" t="s">
        <v>594</v>
      </c>
      <c r="D55" s="32"/>
    </row>
    <row r="56" spans="3:4" ht="18" customHeight="1">
      <c r="C56" s="16" t="s">
        <v>595</v>
      </c>
      <c r="D56" s="32"/>
    </row>
    <row r="57" spans="3:4" ht="18" customHeight="1">
      <c r="C57" s="16" t="s">
        <v>596</v>
      </c>
      <c r="D57" s="32"/>
    </row>
    <row r="58" spans="3:4" ht="18" customHeight="1">
      <c r="C58" s="16" t="s">
        <v>597</v>
      </c>
      <c r="D58" s="32"/>
    </row>
    <row r="59" spans="3:4" ht="18" customHeight="1">
      <c r="C59" s="16" t="s">
        <v>598</v>
      </c>
      <c r="D59" s="32"/>
    </row>
  </sheetData>
  <conditionalFormatting sqref="D13">
    <cfRule type="expression" dxfId="45" priority="7">
      <formula>IF(#REF!="Gaspool",1,0)</formula>
    </cfRule>
  </conditionalFormatting>
  <conditionalFormatting sqref="D20">
    <cfRule type="expression" dxfId="44" priority="5">
      <formula>IF($D$19=$H$19,1,0)</formula>
    </cfRule>
  </conditionalFormatting>
  <conditionalFormatting sqref="D23:D25">
    <cfRule type="expression" dxfId="43" priority="4">
      <formula>IF($D$15="analytisch",1,0)</formula>
    </cfRule>
  </conditionalFormatting>
  <conditionalFormatting sqref="D24">
    <cfRule type="expression" dxfId="42" priority="2">
      <formula>IF($D$23="nein",1)</formula>
    </cfRule>
  </conditionalFormatting>
  <conditionalFormatting sqref="D25">
    <cfRule type="expression" dxfId="41" priority="1">
      <formula>IF(AND($D$24=$I$24,$D$23=$H$23),1,0)</formula>
    </cfRule>
  </conditionalFormatting>
  <conditionalFormatting sqref="D28">
    <cfRule type="expression" dxfId="40" priority="3">
      <formula>IF($D$15="synthetisch",1,0)</formula>
    </cfRule>
  </conditionalFormatting>
  <conditionalFormatting sqref="D45:D59">
    <cfRule type="expression" dxfId="39" priority="6">
      <formula>IF(CELL("Zeile",D45)&lt;$D$43+CELL("Zeile",$D$45),1,0)</formula>
    </cfRule>
  </conditionalFormatting>
  <conditionalFormatting sqref="D46:D59">
    <cfRule type="expression" dxfId="38" priority="22">
      <formula>IF(CELL(D46)&lt;$D$33+27,1,0)</formula>
    </cfRule>
  </conditionalFormatting>
  <dataValidations count="9">
    <dataValidation type="list" allowBlank="1" showInputMessage="1" showErrorMessage="1" sqref="D15" xr:uid="{C124109B-B035-4465-B970-89FFB841F2F2}">
      <formula1>$H$15:$I$15</formula1>
    </dataValidation>
    <dataValidation type="whole" allowBlank="1" showInputMessage="1" showErrorMessage="1" sqref="D32" xr:uid="{A9E104CA-FECE-44E1-9983-791FA9912B73}">
      <formula1>1</formula1>
      <formula2>200</formula2>
    </dataValidation>
    <dataValidation type="list" allowBlank="1" showInputMessage="1" showErrorMessage="1" sqref="D43" xr:uid="{684FCBCC-D690-4D94-9F26-7334289308CF}">
      <formula1>$H$43:$V$43</formula1>
    </dataValidation>
    <dataValidation type="list" allowBlank="1" showInputMessage="1" showErrorMessage="1" sqref="D19" xr:uid="{19B422FE-2698-4AC2-981D-4976E0A276F3}">
      <formula1>$H$19:$I$19</formula1>
    </dataValidation>
    <dataValidation type="list" allowBlank="1" showInputMessage="1" showErrorMessage="1" sqref="D20" xr:uid="{34D3859D-BDCA-4AC5-AC80-9500B6B58568}">
      <formula1>$H$21:$I$21</formula1>
    </dataValidation>
    <dataValidation type="list" allowBlank="1" showInputMessage="1" showErrorMessage="1" sqref="D11" xr:uid="{7475DDA7-A7FC-4270-B882-3F25CB37AAE5}">
      <formula1>$H$11:$I$11</formula1>
    </dataValidation>
    <dataValidation type="list" allowBlank="1" showInputMessage="1" showErrorMessage="1" sqref="D24" xr:uid="{7EDE3CF5-FDE8-4048-915E-3426805E1446}">
      <formula1>$H$24:$J$24</formula1>
    </dataValidation>
    <dataValidation type="list" allowBlank="1" showInputMessage="1" showErrorMessage="1" sqref="D23" xr:uid="{2F8DA031-B001-480B-9478-104D7596B84D}">
      <formula1>$H$23:$I$23</formula1>
    </dataValidation>
    <dataValidation type="list" allowBlank="1" showInputMessage="1" showErrorMessage="1" sqref="D28" xr:uid="{7B891A51-E1A0-498B-A259-C373EDC0BB37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5" sqref="E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32.5703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2:56" ht="75" customHeight="1"/>
    <row r="2" spans="2:56" ht="23.25">
      <c r="B2" s="6" t="s">
        <v>542</v>
      </c>
    </row>
    <row r="3" spans="2:56" ht="15" customHeight="1">
      <c r="B3" s="6"/>
    </row>
    <row r="4" spans="2:56">
      <c r="C4" s="40" t="s">
        <v>441</v>
      </c>
      <c r="D4" s="41"/>
      <c r="E4" s="42" t="s">
        <v>483</v>
      </c>
    </row>
    <row r="5" spans="2:56">
      <c r="C5" s="40" t="s">
        <v>440</v>
      </c>
      <c r="D5" s="41"/>
      <c r="E5" s="42" t="str">
        <f>Netzbetreiber!D28</f>
        <v>Ahrtal-Werke GmbH</v>
      </c>
    </row>
    <row r="6" spans="2:56">
      <c r="C6" s="40" t="s">
        <v>484</v>
      </c>
      <c r="D6" s="41"/>
      <c r="E6" s="285">
        <v>9870134500007</v>
      </c>
    </row>
    <row r="7" spans="2:56">
      <c r="C7" s="40" t="s">
        <v>132</v>
      </c>
      <c r="D7" s="41"/>
      <c r="E7" s="35">
        <v>45658</v>
      </c>
    </row>
    <row r="8" spans="2:56">
      <c r="H8" s="68" t="s">
        <v>494</v>
      </c>
    </row>
    <row r="9" spans="2:56">
      <c r="C9" s="40" t="s">
        <v>520</v>
      </c>
      <c r="F9" s="129">
        <f>'SLP-Verfahren'!D43</f>
        <v>1</v>
      </c>
      <c r="H9" s="143" t="s">
        <v>599</v>
      </c>
    </row>
    <row r="10" spans="2:56">
      <c r="C10" s="40" t="s">
        <v>583</v>
      </c>
      <c r="F10" s="245">
        <v>1</v>
      </c>
      <c r="G10" s="41"/>
      <c r="H10" s="143" t="s">
        <v>600</v>
      </c>
    </row>
    <row r="11" spans="2:56">
      <c r="C11" s="40" t="s">
        <v>601</v>
      </c>
      <c r="F11" s="243" t="str">
        <f>INDEX('SLP-Verfahren'!D45:D59,'SLP-Temp-Gebiet #01'!F10)</f>
        <v>Bad Neuenahr-Ahrweiler</v>
      </c>
      <c r="G11" s="246"/>
      <c r="H11" s="68"/>
    </row>
    <row r="12" spans="2:56"/>
    <row r="13" spans="2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2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2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677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515</v>
      </c>
      <c r="D17" s="145"/>
      <c r="R17" s="171"/>
      <c r="S17" s="171"/>
    </row>
    <row r="18" spans="2:21">
      <c r="C18" s="40" t="s">
        <v>521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>
      <c r="B21" s="16"/>
      <c r="C21" s="151" t="s">
        <v>523</v>
      </c>
      <c r="D21" s="128" t="s">
        <v>514</v>
      </c>
      <c r="E21" s="238">
        <f>1-SUMPRODUCT(F19:N19,F21:N21)</f>
        <v>1</v>
      </c>
      <c r="F21" s="238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535</v>
      </c>
      <c r="D22" s="153">
        <f>SUMPRODUCT(E22:N22,E19:N19)</f>
        <v>1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>
      <c r="B23" s="16"/>
      <c r="C23" s="151" t="s">
        <v>136</v>
      </c>
      <c r="D23" s="154"/>
      <c r="E23" s="131" t="s">
        <v>677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DTN</v>
      </c>
    </row>
    <row r="24" spans="2:21">
      <c r="B24" s="16"/>
      <c r="C24" s="151" t="s">
        <v>518</v>
      </c>
      <c r="D24" s="154"/>
      <c r="E24" s="131" t="s">
        <v>673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1">
      <c r="B25" s="16"/>
      <c r="C25" s="151" t="s">
        <v>513</v>
      </c>
      <c r="D25" s="154"/>
      <c r="E25" s="131">
        <v>191329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>
      <c r="B26" s="16"/>
      <c r="C26" s="151" t="s">
        <v>140</v>
      </c>
      <c r="D26" s="154"/>
      <c r="E26" s="131" t="s">
        <v>653</v>
      </c>
      <c r="F26" s="131" t="s">
        <v>502</v>
      </c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141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9870134500007191329B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502</v>
      </c>
      <c r="S27" s="49" t="s">
        <v>503</v>
      </c>
    </row>
    <row r="28" spans="2:21">
      <c r="B28" s="16"/>
      <c r="C28" s="155"/>
      <c r="Q28" s="172"/>
    </row>
    <row r="29" spans="2:21">
      <c r="C29" s="40" t="s">
        <v>517</v>
      </c>
      <c r="F29" s="34">
        <v>1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139</v>
      </c>
      <c r="D31" s="148" t="s">
        <v>255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>
      <c r="B32" s="16"/>
      <c r="C32" s="151" t="s">
        <v>524</v>
      </c>
      <c r="D32" s="153" t="s">
        <v>254</v>
      </c>
      <c r="E32" s="236">
        <f>1-SUMPRODUCT(F30:N30,F32:N32)</f>
        <v>1</v>
      </c>
      <c r="F32" s="236">
        <f>ROUND(F33/$D$33,4)</f>
        <v>0.5</v>
      </c>
      <c r="G32" s="236">
        <f t="shared" ref="G32:N32" si="3">ROUND(G33/$D$33,4)</f>
        <v>0.25</v>
      </c>
      <c r="H32" s="236">
        <f>ROUND(H33/$D$33,4)</f>
        <v>0.125</v>
      </c>
      <c r="I32" s="236">
        <f t="shared" si="3"/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531</v>
      </c>
      <c r="D33" s="238">
        <f>SUMPRODUCT(E33:N33,E30:N30)</f>
        <v>1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>
      <c r="B35" s="16"/>
      <c r="C35" s="151" t="s">
        <v>447</v>
      </c>
      <c r="D35" s="128" t="s">
        <v>446</v>
      </c>
      <c r="E35" s="131" t="s">
        <v>510</v>
      </c>
      <c r="F35" s="131" t="s">
        <v>510</v>
      </c>
      <c r="G35" s="131" t="s">
        <v>510</v>
      </c>
      <c r="H35" s="131" t="s">
        <v>510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510</v>
      </c>
      <c r="S35" s="49" t="s">
        <v>511</v>
      </c>
    </row>
    <row r="36" spans="2:28">
      <c r="B36" s="16"/>
      <c r="C36" s="151" t="s">
        <v>603</v>
      </c>
      <c r="D36" s="128" t="s">
        <v>604</v>
      </c>
      <c r="E36" s="131" t="s">
        <v>602</v>
      </c>
      <c r="F36" s="131" t="s">
        <v>602</v>
      </c>
      <c r="G36" s="131" t="s">
        <v>602</v>
      </c>
      <c r="H36" s="131" t="s">
        <v>602</v>
      </c>
      <c r="I36" s="131" t="s">
        <v>602</v>
      </c>
      <c r="J36" s="131" t="s">
        <v>602</v>
      </c>
      <c r="K36" s="131" t="s">
        <v>602</v>
      </c>
      <c r="L36" s="131" t="s">
        <v>602</v>
      </c>
      <c r="M36" s="131" t="s">
        <v>602</v>
      </c>
      <c r="N36" s="131" t="s">
        <v>602</v>
      </c>
      <c r="O36" s="152" t="s">
        <v>141</v>
      </c>
      <c r="Q36" s="172"/>
      <c r="R36" s="49" t="s">
        <v>602</v>
      </c>
      <c r="S36" s="49" t="s">
        <v>605</v>
      </c>
      <c r="T36" s="41"/>
    </row>
    <row r="37" spans="2:28">
      <c r="B37" s="16"/>
      <c r="C37" s="154" t="s">
        <v>439</v>
      </c>
      <c r="D37" s="98" t="s">
        <v>536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449</v>
      </c>
      <c r="S37" s="49" t="s">
        <v>448</v>
      </c>
    </row>
    <row r="38" spans="2:28" ht="15.75" thickBot="1"/>
    <row r="39" spans="2:28">
      <c r="C39" s="157" t="s">
        <v>266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346</v>
      </c>
      <c r="D40" s="161"/>
      <c r="E40" s="161" t="s">
        <v>529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530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522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528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533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534</v>
      </c>
      <c r="D47" s="164" t="s">
        <v>532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>
      <c r="C48" s="163" t="s">
        <v>345</v>
      </c>
      <c r="D48" s="164" t="s">
        <v>532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359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577</v>
      </c>
    </row>
    <row r="52" spans="2:15">
      <c r="I52" s="1"/>
    </row>
    <row r="53" spans="2:15">
      <c r="C53" s="40" t="s">
        <v>541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516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>
      <c r="B56" s="16"/>
      <c r="C56" s="151" t="s">
        <v>523</v>
      </c>
      <c r="D56" s="128" t="s">
        <v>514</v>
      </c>
      <c r="E56" s="236">
        <f>1-SUMPRODUCT(F54:N54,F56:N56)</f>
        <v>1</v>
      </c>
      <c r="F56" s="236">
        <f>ROUND(F57/$D$57,4)</f>
        <v>1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>
      <c r="B57" s="16"/>
      <c r="C57" s="151" t="s">
        <v>535</v>
      </c>
      <c r="D57" s="153">
        <f>SUMPRODUCT(E57:N57,E54:N54)</f>
        <v>1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>
      <c r="B58" s="16"/>
      <c r="C58" s="151" t="s">
        <v>136</v>
      </c>
      <c r="D58" s="154"/>
      <c r="E58" s="131" t="str">
        <f>E23</f>
        <v>DTN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>
      <c r="B59" s="16"/>
      <c r="C59" s="151" t="s">
        <v>518</v>
      </c>
      <c r="D59" s="154"/>
      <c r="E59" s="131" t="str">
        <f>E24</f>
        <v>Bad Neuenahr-Ahrweiler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519</v>
      </c>
    </row>
    <row r="60" spans="2:15">
      <c r="B60" s="16"/>
      <c r="C60" s="151" t="s">
        <v>513</v>
      </c>
      <c r="D60" s="154"/>
      <c r="E60" s="131">
        <f>E25</f>
        <v>191329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>
      <c r="B61" s="16"/>
      <c r="C61" s="151" t="s">
        <v>140</v>
      </c>
      <c r="D61" s="154"/>
      <c r="E61" s="133" t="s">
        <v>502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/>
    <row r="63" spans="2:15">
      <c r="C63" s="40" t="s">
        <v>517</v>
      </c>
      <c r="F63" s="132"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139</v>
      </c>
      <c r="D65" s="148" t="s">
        <v>255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>
      <c r="B66" s="16"/>
      <c r="C66" s="151" t="s">
        <v>524</v>
      </c>
      <c r="D66" s="153" t="s">
        <v>254</v>
      </c>
      <c r="E66" s="236">
        <f>1-SUMPRODUCT(F64:N64,F66:N66)</f>
        <v>1</v>
      </c>
      <c r="F66" s="236">
        <f>ROUND(F67/$D$67,4)</f>
        <v>0.5</v>
      </c>
      <c r="G66" s="236">
        <f t="shared" ref="G66:N66" si="12">ROUND(G67/$D$67,4)</f>
        <v>0.25</v>
      </c>
      <c r="H66" s="236">
        <f t="shared" si="12"/>
        <v>0.125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>
      <c r="B67" s="16"/>
      <c r="C67" s="151" t="s">
        <v>531</v>
      </c>
      <c r="D67" s="153">
        <f>SUMPRODUCT(E67:N67,E64:N64)</f>
        <v>1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>
      <c r="B68" s="16"/>
      <c r="C68" s="151" t="s">
        <v>358</v>
      </c>
      <c r="D68" s="128" t="s">
        <v>357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>
      <c r="B69" s="16"/>
      <c r="C69" s="151" t="s">
        <v>447</v>
      </c>
      <c r="D69" s="128" t="s">
        <v>446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>
      <c r="B70" s="16"/>
      <c r="C70" s="151" t="s">
        <v>603</v>
      </c>
      <c r="D70" s="128" t="s">
        <v>604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>
      <c r="B71" s="16"/>
      <c r="C71" s="154" t="s">
        <v>439</v>
      </c>
      <c r="D71" s="98" t="s">
        <v>536</v>
      </c>
      <c r="E71" s="137" t="s">
        <v>449</v>
      </c>
      <c r="F71" s="137" t="s">
        <v>449</v>
      </c>
      <c r="G71" s="137" t="s">
        <v>449</v>
      </c>
      <c r="H71" s="137" t="s">
        <v>449</v>
      </c>
      <c r="I71" s="137">
        <f t="shared" ref="I71:N71" si="17">I37</f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/>
    <row r="73" spans="2:15" ht="15.75" customHeight="1">
      <c r="C73" s="288" t="s">
        <v>578</v>
      </c>
      <c r="D73" s="288"/>
      <c r="E73" s="288"/>
      <c r="F73" s="28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7" priority="1">
      <formula>IF(E$20&gt;$F$18,1,0)</formula>
    </cfRule>
  </conditionalFormatting>
  <conditionalFormatting sqref="E22:N25">
    <cfRule type="expression" dxfId="36" priority="2">
      <formula>IF(E$20&lt;=$F$18,1,0)</formula>
    </cfRule>
  </conditionalFormatting>
  <conditionalFormatting sqref="E26:N26">
    <cfRule type="expression" dxfId="35" priority="27">
      <formula>IF(E$20&lt;=$F$18,1,0)</formula>
    </cfRule>
    <cfRule type="expression" dxfId="34" priority="28">
      <formula>IF(E$20&lt;=$F$18,1,0)</formula>
    </cfRule>
  </conditionalFormatting>
  <conditionalFormatting sqref="E32:N37">
    <cfRule type="expression" dxfId="33" priority="9">
      <formula>IF(E$31&gt;$F$29,1,0)</formula>
    </cfRule>
  </conditionalFormatting>
  <conditionalFormatting sqref="E33:N37">
    <cfRule type="expression" dxfId="32" priority="29">
      <formula>IF(E$31&lt;=$F$29,1,0)</formula>
    </cfRule>
  </conditionalFormatting>
  <conditionalFormatting sqref="E56:N61">
    <cfRule type="expression" dxfId="31" priority="10">
      <formula>IF(E$55&gt;$F$53,1,0)</formula>
    </cfRule>
  </conditionalFormatting>
  <conditionalFormatting sqref="E57:N60">
    <cfRule type="expression" dxfId="30" priority="24">
      <formula>IF(E$55&lt;=$F$53,1,0)</formula>
    </cfRule>
  </conditionalFormatting>
  <conditionalFormatting sqref="E61:N61">
    <cfRule type="expression" dxfId="29" priority="23">
      <formula>IF(E$55&lt;=$F$53,1,0)</formula>
    </cfRule>
  </conditionalFormatting>
  <conditionalFormatting sqref="E66:N71">
    <cfRule type="expression" dxfId="28" priority="3">
      <formula>IF(E$65&gt;$F$63,1,0)</formula>
    </cfRule>
  </conditionalFormatting>
  <conditionalFormatting sqref="E67:N70">
    <cfRule type="expression" dxfId="27" priority="4">
      <formula>IF(E$65&lt;=$F$63,1,0)</formula>
    </cfRule>
  </conditionalFormatting>
  <conditionalFormatting sqref="E71:N71">
    <cfRule type="expression" dxfId="26" priority="8">
      <formula>IF(E$65&lt;=$F$63,1,0)</formula>
    </cfRule>
  </conditionalFormatting>
  <conditionalFormatting sqref="H8:H11">
    <cfRule type="expression" dxfId="25" priority="7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F37 F25:N25 E57:N60 F22 I22:N22 F53 G24:N24 I71:N71 E33:N35 E70:N70 I37:N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40" t="s">
        <v>441</v>
      </c>
      <c r="D4" s="41"/>
      <c r="E4" s="42" t="s">
        <v>483</v>
      </c>
    </row>
    <row r="5" spans="1:56">
      <c r="C5" s="40" t="s">
        <v>440</v>
      </c>
      <c r="D5" s="41"/>
      <c r="E5" s="42" t="str">
        <f>Netzbetreiber!D28</f>
        <v>Ahrtal-Werke GmbH</v>
      </c>
    </row>
    <row r="6" spans="1:56">
      <c r="C6" s="40" t="s">
        <v>484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494</v>
      </c>
    </row>
    <row r="9" spans="1:56">
      <c r="C9" s="40" t="s">
        <v>520</v>
      </c>
      <c r="F9" s="129">
        <f>'SLP-Verfahren'!D43</f>
        <v>1</v>
      </c>
      <c r="H9" s="143" t="s">
        <v>599</v>
      </c>
    </row>
    <row r="10" spans="1:56">
      <c r="C10" s="40" t="s">
        <v>583</v>
      </c>
      <c r="F10" s="245">
        <v>2</v>
      </c>
      <c r="G10" s="41"/>
      <c r="H10" s="143" t="s">
        <v>600</v>
      </c>
    </row>
    <row r="11" spans="1:56">
      <c r="C11" s="40" t="s">
        <v>601</v>
      </c>
      <c r="F11" s="243">
        <f>INDEX('SLP-Verfahren'!D45:D59,'SLP-Temp-Gebiet #02'!F10)</f>
        <v>0</v>
      </c>
      <c r="G11" s="246"/>
      <c r="H11" s="68"/>
    </row>
    <row r="12" spans="1:56"/>
    <row r="13" spans="1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1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526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515</v>
      </c>
      <c r="D17" s="145"/>
      <c r="R17" s="171"/>
      <c r="S17" s="171"/>
    </row>
    <row r="18" spans="2:20">
      <c r="C18" s="40" t="s">
        <v>521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>
      <c r="B21" s="16"/>
      <c r="C21" s="151" t="s">
        <v>523</v>
      </c>
      <c r="D21" s="128" t="s">
        <v>514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535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Wetterdienstleister ABC</v>
      </c>
    </row>
    <row r="24" spans="2:20">
      <c r="B24" s="16"/>
      <c r="C24" s="151" t="s">
        <v>518</v>
      </c>
      <c r="D24" s="154"/>
      <c r="E24" s="131" t="s">
        <v>579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0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>
      <c r="B26" s="16"/>
      <c r="C26" s="151" t="s">
        <v>140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502</v>
      </c>
      <c r="S26" s="49" t="s">
        <v>503</v>
      </c>
    </row>
    <row r="27" spans="2:20">
      <c r="B27" s="16"/>
      <c r="C27" s="155"/>
      <c r="Q27" s="172"/>
    </row>
    <row r="28" spans="2:20">
      <c r="C28" s="40" t="s">
        <v>517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139</v>
      </c>
      <c r="D30" s="148" t="s">
        <v>255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>
      <c r="B31" s="16"/>
      <c r="C31" s="151" t="s">
        <v>524</v>
      </c>
      <c r="D31" s="153" t="s">
        <v>254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531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510</v>
      </c>
      <c r="S34" s="49" t="s">
        <v>511</v>
      </c>
    </row>
    <row r="35" spans="2:28">
      <c r="B35" s="16"/>
      <c r="C35" s="151" t="s">
        <v>603</v>
      </c>
      <c r="D35" s="128" t="s">
        <v>604</v>
      </c>
      <c r="E35" s="131" t="s">
        <v>602</v>
      </c>
      <c r="F35" s="131" t="s">
        <v>602</v>
      </c>
      <c r="G35" s="131" t="s">
        <v>602</v>
      </c>
      <c r="H35" s="131" t="s">
        <v>602</v>
      </c>
      <c r="I35" s="131" t="s">
        <v>602</v>
      </c>
      <c r="J35" s="131" t="s">
        <v>602</v>
      </c>
      <c r="K35" s="131" t="s">
        <v>602</v>
      </c>
      <c r="L35" s="131" t="s">
        <v>602</v>
      </c>
      <c r="M35" s="131" t="s">
        <v>602</v>
      </c>
      <c r="N35" s="131" t="s">
        <v>602</v>
      </c>
      <c r="O35" s="152" t="s">
        <v>141</v>
      </c>
      <c r="Q35" s="172"/>
      <c r="R35" s="49" t="s">
        <v>602</v>
      </c>
      <c r="S35" s="49" t="s">
        <v>605</v>
      </c>
      <c r="T35" s="41"/>
    </row>
    <row r="36" spans="2:28">
      <c r="B36" s="16"/>
      <c r="C36" s="154" t="s">
        <v>439</v>
      </c>
      <c r="D36" s="98" t="s">
        <v>536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449</v>
      </c>
      <c r="S36" s="49" t="s">
        <v>448</v>
      </c>
    </row>
    <row r="37" spans="2:28" ht="15.75" thickBot="1"/>
    <row r="38" spans="2:28">
      <c r="C38" s="157" t="s">
        <v>266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346</v>
      </c>
      <c r="D39" s="161"/>
      <c r="E39" s="161" t="s">
        <v>529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527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533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534</v>
      </c>
      <c r="D46" s="164" t="s">
        <v>532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359</v>
      </c>
      <c r="K46" s="161"/>
      <c r="L46" s="161"/>
      <c r="M46" s="161"/>
      <c r="N46" s="161"/>
      <c r="O46" s="162"/>
    </row>
    <row r="47" spans="2:28">
      <c r="C47" s="163" t="s">
        <v>345</v>
      </c>
      <c r="D47" s="164" t="s">
        <v>532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577</v>
      </c>
    </row>
    <row r="51" spans="2:15">
      <c r="I51" s="1"/>
    </row>
    <row r="52" spans="2:15">
      <c r="C52" s="40" t="s">
        <v>541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516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>
      <c r="B55" s="16"/>
      <c r="C55" s="151" t="s">
        <v>523</v>
      </c>
      <c r="D55" s="128" t="s">
        <v>514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535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>
      <c r="B58" s="16"/>
      <c r="C58" s="151" t="s">
        <v>518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519</v>
      </c>
    </row>
    <row r="59" spans="2:1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/>
    <row r="62" spans="2:15">
      <c r="C62" s="40" t="s">
        <v>517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139</v>
      </c>
      <c r="D64" s="148" t="s">
        <v>255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>
      <c r="B65" s="16"/>
      <c r="C65" s="151" t="s">
        <v>524</v>
      </c>
      <c r="D65" s="153" t="s">
        <v>254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531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>
      <c r="B69" s="16"/>
      <c r="C69" s="151" t="s">
        <v>603</v>
      </c>
      <c r="D69" s="128" t="s">
        <v>604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>
      <c r="B70" s="16"/>
      <c r="C70" s="154" t="s">
        <v>439</v>
      </c>
      <c r="D70" s="98" t="s">
        <v>536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/>
    <row r="72" spans="2:15" ht="15.75" customHeight="1">
      <c r="C72" s="288" t="s">
        <v>578</v>
      </c>
      <c r="D72" s="288"/>
      <c r="E72" s="288"/>
      <c r="F72" s="28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34" sqref="I34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361</v>
      </c>
    </row>
    <row r="3" spans="2:26">
      <c r="B3" t="s">
        <v>462</v>
      </c>
    </row>
    <row r="4" spans="2:26"/>
    <row r="5" spans="2:26">
      <c r="C5" s="38" t="s">
        <v>366</v>
      </c>
      <c r="D5" s="39" t="str">
        <f>Netzbetreiber!$D$9</f>
        <v>Ahrtal-Werke GmbH</v>
      </c>
      <c r="H5" s="68" t="s">
        <v>494</v>
      </c>
      <c r="I5" s="8" t="s">
        <v>497</v>
      </c>
    </row>
    <row r="6" spans="2:26">
      <c r="C6" s="38" t="s">
        <v>333</v>
      </c>
      <c r="D6" s="39" t="str">
        <f>Netzbetreiber!$D$28</f>
        <v>Ahrtal-Werke GmbH</v>
      </c>
      <c r="I6" s="8" t="s">
        <v>507</v>
      </c>
    </row>
    <row r="7" spans="2:26">
      <c r="C7" s="38" t="s">
        <v>484</v>
      </c>
      <c r="D7" s="39">
        <f>Netzbetreiber!$D$11</f>
        <v>9870134500007</v>
      </c>
    </row>
    <row r="8" spans="2:26">
      <c r="C8" s="38" t="s">
        <v>132</v>
      </c>
      <c r="D8" s="37">
        <f>Netzbetreiber!$D$6</f>
        <v>45658</v>
      </c>
      <c r="H8" t="s">
        <v>492</v>
      </c>
      <c r="J8" s="108">
        <f>COUNTA(D12:D100)</f>
        <v>20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248</v>
      </c>
      <c r="C10" s="110" t="s">
        <v>491</v>
      </c>
      <c r="D10" s="109" t="s">
        <v>146</v>
      </c>
      <c r="E10" s="230" t="s">
        <v>509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633</v>
      </c>
      <c r="M10" s="125" t="s">
        <v>642</v>
      </c>
      <c r="N10" s="126" t="s">
        <v>643</v>
      </c>
      <c r="O10" s="126" t="s">
        <v>644</v>
      </c>
      <c r="P10" s="127" t="s">
        <v>645</v>
      </c>
      <c r="Q10" s="121" t="s">
        <v>634</v>
      </c>
      <c r="R10" s="111" t="s">
        <v>635</v>
      </c>
      <c r="S10" s="112" t="s">
        <v>636</v>
      </c>
      <c r="T10" s="112" t="s">
        <v>637</v>
      </c>
      <c r="U10" s="112" t="s">
        <v>638</v>
      </c>
      <c r="V10" s="112" t="s">
        <v>639</v>
      </c>
      <c r="W10" s="112" t="s">
        <v>640</v>
      </c>
      <c r="X10" s="113" t="s">
        <v>641</v>
      </c>
      <c r="Y10" s="250" t="s">
        <v>646</v>
      </c>
    </row>
    <row r="11" spans="2:26" ht="15.75" thickBot="1">
      <c r="B11" s="114" t="s">
        <v>493</v>
      </c>
      <c r="C11" s="115" t="s">
        <v>508</v>
      </c>
      <c r="D11" s="249" t="s">
        <v>247</v>
      </c>
      <c r="E11" s="138" t="s">
        <v>49</v>
      </c>
      <c r="F11" s="251" t="str">
        <f>VLOOKUP($E11,'BDEW-Standard'!$B$3:$M$158,F$9,0)</f>
        <v>R13</v>
      </c>
      <c r="H11" s="140">
        <f>ROUND(VLOOKUP($E11,'BDEW-Standard'!$B$3:$M$158,H$9,0),7)</f>
        <v>3.0217399</v>
      </c>
      <c r="I11" s="140">
        <f>ROUND(VLOOKUP($E11,'BDEW-Standard'!$B$3:$M$158,I$9,0),7)</f>
        <v>-37.182360000000003</v>
      </c>
      <c r="J11" s="140">
        <f>ROUND(VLOOKUP($E11,'BDEW-Standard'!$B$3:$M$158,J$9,0),7)</f>
        <v>5.6477170000000001</v>
      </c>
      <c r="K11" s="140">
        <f>ROUND(VLOOKUP($E11,'BDEW-Standard'!$B$3:$M$158,K$9,0),7)</f>
        <v>0.1152388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1.0214966312810889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47">
        <v>365.12299999999999</v>
      </c>
    </row>
    <row r="12" spans="2:26">
      <c r="B12" s="116">
        <v>1</v>
      </c>
      <c r="C12" s="117" t="str">
        <f t="shared" ref="C12:C41" si="0">$D$6</f>
        <v>Ahrtal-Werke GmbH</v>
      </c>
      <c r="D12" s="46" t="s">
        <v>247</v>
      </c>
      <c r="E12" s="139" t="s">
        <v>655</v>
      </c>
      <c r="F12" s="252" t="str">
        <f>VLOOKUP($E12,'BDEW-Standard'!$B$3:$M$158,F$9,0)</f>
        <v>BA4</v>
      </c>
      <c r="H12" s="231">
        <f>ROUND(VLOOKUP($E12,'BDEW-Standard'!$B$3:$M$158,H$9,0),7)</f>
        <v>0.93158890000000005</v>
      </c>
      <c r="I12" s="231">
        <f>ROUND(VLOOKUP($E12,'BDEW-Standard'!$B$3:$M$158,I$9,0),7)</f>
        <v>-33.35</v>
      </c>
      <c r="J12" s="231">
        <f>ROUND(VLOOKUP($E12,'BDEW-Standard'!$B$3:$M$158,J$9,0),7)</f>
        <v>5.7212303000000002</v>
      </c>
      <c r="K12" s="231">
        <f>ROUND(VLOOKUP($E12,'BDEW-Standard'!$B$3:$M$158,K$9,0),7)</f>
        <v>0.66564939999999995</v>
      </c>
      <c r="L12" s="232">
        <f>ROUND(VLOOKUP($E12,'BDEW-Standard'!$B$3:$M$158,L$9,0),1)</f>
        <v>40</v>
      </c>
      <c r="M12" s="231">
        <f>ROUND(VLOOKUP($E12,'BDEW-Standard'!$B$3:$M$158,M$9,0),7)</f>
        <v>0</v>
      </c>
      <c r="N12" s="231">
        <f>ROUND(VLOOKUP($E12,'BDEW-Standard'!$B$3:$M$158,N$9,0),7)</f>
        <v>0</v>
      </c>
      <c r="O12" s="231">
        <f>ROUND(VLOOKUP($E12,'BDEW-Standard'!$B$3:$M$158,O$9,0),7)</f>
        <v>0</v>
      </c>
      <c r="P12" s="231">
        <f>ROUND(VLOOKUP($E12,'BDEW-Standard'!$B$3:$M$158,P$9,0),7)</f>
        <v>0</v>
      </c>
      <c r="Q12" s="233">
        <f>($H12/(1+($I12/($Q$9-$L12))^$J12)+$K12)+MAX($M12*$Q$9+$N12,$O12*$Q$9+$P12)</f>
        <v>1.0766391850538448</v>
      </c>
      <c r="R12" s="234">
        <f>ROUND(VLOOKUP(MID($E12,4,3),'Wochentag F(WT)'!$B$7:$J$22,R$9,0),4)</f>
        <v>1.0848</v>
      </c>
      <c r="S12" s="234">
        <f>ROUND(VLOOKUP(MID($E12,4,3),'Wochentag F(WT)'!$B$7:$J$22,S$9,0),4)</f>
        <v>1.1211</v>
      </c>
      <c r="T12" s="234">
        <f>ROUND(VLOOKUP(MID($E12,4,3),'Wochentag F(WT)'!$B$7:$J$22,T$9,0),4)</f>
        <v>1.0769</v>
      </c>
      <c r="U12" s="234">
        <f>ROUND(VLOOKUP(MID($E12,4,3),'Wochentag F(WT)'!$B$7:$J$22,U$9,0),4)</f>
        <v>1.1353</v>
      </c>
      <c r="V12" s="234">
        <f>ROUND(VLOOKUP(MID($E12,4,3),'Wochentag F(WT)'!$B$7:$J$22,V$9,0),4)</f>
        <v>1.1402000000000001</v>
      </c>
      <c r="W12" s="234">
        <f>ROUND(VLOOKUP(MID($E12,4,3),'Wochentag F(WT)'!$B$7:$J$22,W$9,0),4)</f>
        <v>0.48520000000000002</v>
      </c>
      <c r="X12" s="235">
        <f>7-SUM(R12:W12)</f>
        <v>0.95650000000000013</v>
      </c>
      <c r="Y12" s="248"/>
      <c r="Z12" s="173"/>
    </row>
    <row r="13" spans="2:26" s="118" customFormat="1">
      <c r="B13" s="119">
        <v>2</v>
      </c>
      <c r="C13" s="120" t="str">
        <f t="shared" si="0"/>
        <v>Ahrtal-Werke GmbH</v>
      </c>
      <c r="D13" s="46" t="s">
        <v>247</v>
      </c>
      <c r="E13" s="139" t="s">
        <v>656</v>
      </c>
      <c r="F13" s="252" t="str">
        <f>VLOOKUP($E13,'BDEW-Standard'!$B$3:$M$158,F$9,0)</f>
        <v>BH4</v>
      </c>
      <c r="H13" s="231">
        <f>ROUND(VLOOKUP($E13,'BDEW-Standard'!$B$3:$M$158,H$9,0),7)</f>
        <v>2.4595180999999999</v>
      </c>
      <c r="I13" s="231">
        <f>ROUND(VLOOKUP($E13,'BDEW-Standard'!$B$3:$M$158,I$9,0),7)</f>
        <v>-35.253212400000002</v>
      </c>
      <c r="J13" s="231">
        <f>ROUND(VLOOKUP($E13,'BDEW-Standard'!$B$3:$M$158,J$9,0),7)</f>
        <v>6.0587001000000003</v>
      </c>
      <c r="K13" s="231">
        <f>ROUND(VLOOKUP($E13,'BDEW-Standard'!$B$3:$M$158,K$9,0),7)</f>
        <v>0.16473699999999999</v>
      </c>
      <c r="L13" s="232">
        <f>ROUND(VLOOKUP($E13,'BDEW-Standard'!$B$3:$M$158,L$9,0),1)</f>
        <v>40</v>
      </c>
      <c r="M13" s="231">
        <f>ROUND(VLOOKUP($E13,'BDEW-Standard'!$B$3:$M$158,M$9,0),7)</f>
        <v>0</v>
      </c>
      <c r="N13" s="231">
        <f>ROUND(VLOOKUP($E13,'BDEW-Standard'!$B$3:$M$158,N$9,0),7)</f>
        <v>0</v>
      </c>
      <c r="O13" s="231">
        <f>ROUND(VLOOKUP($E13,'BDEW-Standard'!$B$3:$M$158,O$9,0),7)</f>
        <v>0</v>
      </c>
      <c r="P13" s="231">
        <f>ROUND(VLOOKUP($E13,'BDEW-Standard'!$B$3:$M$158,P$9,0),7)</f>
        <v>0</v>
      </c>
      <c r="Q13" s="233">
        <f t="shared" ref="Q13:Q31" si="1">($H13/(1+($I13/($Q$9-$L13))^$J13)+$K13)+MAX($M13*$Q$9+$N13,$O13*$Q$9+$P13)</f>
        <v>1.043802057143173</v>
      </c>
      <c r="R13" s="234">
        <f>ROUND(VLOOKUP(MID($E13,4,3),'Wochentag F(WT)'!$B$7:$J$22,R$9,0),4)</f>
        <v>0.97670000000000001</v>
      </c>
      <c r="S13" s="234">
        <f>ROUND(VLOOKUP(MID($E13,4,3),'Wochentag F(WT)'!$B$7:$J$22,S$9,0),4)</f>
        <v>1.0388999999999999</v>
      </c>
      <c r="T13" s="234">
        <f>ROUND(VLOOKUP(MID($E13,4,3),'Wochentag F(WT)'!$B$7:$J$22,T$9,0),4)</f>
        <v>1.0027999999999999</v>
      </c>
      <c r="U13" s="234">
        <f>ROUND(VLOOKUP(MID($E13,4,3),'Wochentag F(WT)'!$B$7:$J$22,U$9,0),4)</f>
        <v>1.0162</v>
      </c>
      <c r="V13" s="234">
        <f>ROUND(VLOOKUP(MID($E13,4,3),'Wochentag F(WT)'!$B$7:$J$22,V$9,0),4)</f>
        <v>1.0024</v>
      </c>
      <c r="W13" s="234">
        <f>ROUND(VLOOKUP(MID($E13,4,3),'Wochentag F(WT)'!$B$7:$J$22,W$9,0),4)</f>
        <v>1.0043</v>
      </c>
      <c r="X13" s="235">
        <f t="shared" ref="X13" si="2">7-SUM(R13:W13)</f>
        <v>0.95870000000000122</v>
      </c>
      <c r="Y13" s="248"/>
      <c r="Z13" s="173"/>
    </row>
    <row r="14" spans="2:26" s="118" customFormat="1">
      <c r="B14" s="119">
        <v>3</v>
      </c>
      <c r="C14" s="120" t="str">
        <f t="shared" si="0"/>
        <v>Ahrtal-Werke GmbH</v>
      </c>
      <c r="D14" s="46" t="s">
        <v>247</v>
      </c>
      <c r="E14" s="139" t="s">
        <v>657</v>
      </c>
      <c r="F14" s="252" t="str">
        <f>VLOOKUP($E14,'BDEW-Standard'!$B$3:$M$158,F$9,0)</f>
        <v>KO4</v>
      </c>
      <c r="H14" s="231">
        <f>ROUND(VLOOKUP($E14,'BDEW-Standard'!$B$3:$M$158,H$9,0),7)</f>
        <v>3.4428942999999999</v>
      </c>
      <c r="I14" s="231">
        <f>ROUND(VLOOKUP($E14,'BDEW-Standard'!$B$3:$M$158,I$9,0),7)</f>
        <v>-36.659050399999998</v>
      </c>
      <c r="J14" s="231">
        <f>ROUND(VLOOKUP($E14,'BDEW-Standard'!$B$3:$M$158,J$9,0),7)</f>
        <v>7.6083226000000002</v>
      </c>
      <c r="K14" s="231">
        <f>ROUND(VLOOKUP($E14,'BDEW-Standard'!$B$3:$M$158,K$9,0),7)</f>
        <v>7.4685000000000001E-2</v>
      </c>
      <c r="L14" s="232">
        <f>ROUND(VLOOKUP($E14,'BDEW-Standard'!$B$3:$M$158,L$9,0),1)</f>
        <v>40</v>
      </c>
      <c r="M14" s="231">
        <f>ROUND(VLOOKUP($E14,'BDEW-Standard'!$B$3:$M$158,M$9,0),7)</f>
        <v>0</v>
      </c>
      <c r="N14" s="231">
        <f>ROUND(VLOOKUP($E14,'BDEW-Standard'!$B$3:$M$158,N$9,0),7)</f>
        <v>0</v>
      </c>
      <c r="O14" s="231">
        <f>ROUND(VLOOKUP($E14,'BDEW-Standard'!$B$3:$M$158,O$9,0),7)</f>
        <v>0</v>
      </c>
      <c r="P14" s="231">
        <f>ROUND(VLOOKUP($E14,'BDEW-Standard'!$B$3:$M$158,P$9,0),7)</f>
        <v>0</v>
      </c>
      <c r="Q14" s="233">
        <f t="shared" si="1"/>
        <v>0.97768382110526542</v>
      </c>
      <c r="R14" s="234">
        <f>ROUND(VLOOKUP(MID($E14,4,3),'Wochentag F(WT)'!$B$7:$J$22,R$9,0),4)</f>
        <v>1.0354000000000001</v>
      </c>
      <c r="S14" s="234">
        <f>ROUND(VLOOKUP(MID($E14,4,3),'Wochentag F(WT)'!$B$7:$J$22,S$9,0),4)</f>
        <v>1.0523</v>
      </c>
      <c r="T14" s="234">
        <f>ROUND(VLOOKUP(MID($E14,4,3),'Wochentag F(WT)'!$B$7:$J$22,T$9,0),4)</f>
        <v>1.0448999999999999</v>
      </c>
      <c r="U14" s="234">
        <f>ROUND(VLOOKUP(MID($E14,4,3),'Wochentag F(WT)'!$B$7:$J$22,U$9,0),4)</f>
        <v>1.0494000000000001</v>
      </c>
      <c r="V14" s="234">
        <f>ROUND(VLOOKUP(MID($E14,4,3),'Wochentag F(WT)'!$B$7:$J$22,V$9,0),4)</f>
        <v>0.98850000000000005</v>
      </c>
      <c r="W14" s="234">
        <f>ROUND(VLOOKUP(MID($E14,4,3),'Wochentag F(WT)'!$B$7:$J$22,W$9,0),4)</f>
        <v>0.88600000000000001</v>
      </c>
      <c r="X14" s="235">
        <f t="shared" ref="X14" si="3">7-SUM(R14:W14)</f>
        <v>0.94349999999999934</v>
      </c>
      <c r="Y14" s="248"/>
      <c r="Z14" s="173"/>
    </row>
    <row r="15" spans="2:26" s="118" customFormat="1">
      <c r="B15" s="119">
        <v>4</v>
      </c>
      <c r="C15" s="120" t="str">
        <f t="shared" si="0"/>
        <v>Ahrtal-Werke GmbH</v>
      </c>
      <c r="D15" s="46" t="s">
        <v>247</v>
      </c>
      <c r="E15" s="139" t="s">
        <v>34</v>
      </c>
      <c r="F15" s="252" t="str">
        <f>VLOOKUP($E15,'BDEW-Standard'!$B$3:$M$158,F$9,0)</f>
        <v>P13</v>
      </c>
      <c r="H15" s="231">
        <f>ROUND(VLOOKUP($E15,'BDEW-Standard'!$B$3:$M$158,H$9,0),7)</f>
        <v>3.0385547000000002</v>
      </c>
      <c r="I15" s="231">
        <f>ROUND(VLOOKUP($E15,'BDEW-Standard'!$B$3:$M$158,I$9,0),7)</f>
        <v>-37.182990799999999</v>
      </c>
      <c r="J15" s="231">
        <f>ROUND(VLOOKUP($E15,'BDEW-Standard'!$B$3:$M$158,J$9,0),7)</f>
        <v>5.6644869</v>
      </c>
      <c r="K15" s="231">
        <f>ROUND(VLOOKUP($E15,'BDEW-Standard'!$B$3:$M$158,K$9,0),7)</f>
        <v>9.3339599999999995E-2</v>
      </c>
      <c r="L15" s="232">
        <f>ROUND(VLOOKUP($E15,'BDEW-Standard'!$B$3:$M$158,L$9,0),1)</f>
        <v>40</v>
      </c>
      <c r="M15" s="231">
        <f>ROUND(VLOOKUP($E15,'BDEW-Standard'!$B$3:$M$158,M$9,0),7)</f>
        <v>0</v>
      </c>
      <c r="N15" s="231">
        <f>ROUND(VLOOKUP($E15,'BDEW-Standard'!$B$3:$M$158,N$9,0),7)</f>
        <v>0</v>
      </c>
      <c r="O15" s="231">
        <f>ROUND(VLOOKUP($E15,'BDEW-Standard'!$B$3:$M$158,O$9,0),7)</f>
        <v>0</v>
      </c>
      <c r="P15" s="231">
        <f>ROUND(VLOOKUP($E15,'BDEW-Standard'!$B$3:$M$158,P$9,0),7)</f>
        <v>0</v>
      </c>
      <c r="Q15" s="233">
        <f t="shared" si="1"/>
        <v>1.0029740552470467</v>
      </c>
      <c r="R15" s="234">
        <f>ROUND(VLOOKUP(MID($E15,4,3),'Wochentag F(WT)'!$B$7:$J$22,R$9,0),4)</f>
        <v>1</v>
      </c>
      <c r="S15" s="234">
        <f>ROUND(VLOOKUP(MID($E15,4,3),'Wochentag F(WT)'!$B$7:$J$22,S$9,0),4)</f>
        <v>1</v>
      </c>
      <c r="T15" s="234">
        <f>ROUND(VLOOKUP(MID($E15,4,3),'Wochentag F(WT)'!$B$7:$J$22,T$9,0),4)</f>
        <v>1</v>
      </c>
      <c r="U15" s="234">
        <f>ROUND(VLOOKUP(MID($E15,4,3),'Wochentag F(WT)'!$B$7:$J$22,U$9,0),4)</f>
        <v>1</v>
      </c>
      <c r="V15" s="234">
        <f>ROUND(VLOOKUP(MID($E15,4,3),'Wochentag F(WT)'!$B$7:$J$22,V$9,0),4)</f>
        <v>1</v>
      </c>
      <c r="W15" s="234">
        <f>ROUND(VLOOKUP(MID($E15,4,3),'Wochentag F(WT)'!$B$7:$J$22,W$9,0),4)</f>
        <v>1</v>
      </c>
      <c r="X15" s="235">
        <f t="shared" ref="X15" si="4">7-SUM(R15:W15)</f>
        <v>1</v>
      </c>
      <c r="Y15" s="248"/>
      <c r="Z15" s="173"/>
    </row>
    <row r="16" spans="2:26" s="118" customFormat="1">
      <c r="B16" s="119">
        <v>5</v>
      </c>
      <c r="C16" s="120" t="str">
        <f t="shared" si="0"/>
        <v>Ahrtal-Werke GmbH</v>
      </c>
      <c r="D16" s="46" t="s">
        <v>247</v>
      </c>
      <c r="E16" s="139" t="s">
        <v>38</v>
      </c>
      <c r="F16" s="252" t="str">
        <f>VLOOKUP($E16,'BDEW-Standard'!$B$3:$M$158,F$9,0)</f>
        <v>P14</v>
      </c>
      <c r="H16" s="231">
        <f>ROUND(VLOOKUP($E16,'BDEW-Standard'!$B$3:$M$158,H$9,0),7)</f>
        <v>3.1764404000000002</v>
      </c>
      <c r="I16" s="231">
        <f>ROUND(VLOOKUP($E16,'BDEW-Standard'!$B$3:$M$158,I$9,0),7)</f>
        <v>-37.410583199999998</v>
      </c>
      <c r="J16" s="231">
        <f>ROUND(VLOOKUP($E16,'BDEW-Standard'!$B$3:$M$158,J$9,0),7)</f>
        <v>6.1622336000000004</v>
      </c>
      <c r="K16" s="231">
        <f>ROUND(VLOOKUP($E16,'BDEW-Standard'!$B$3:$M$158,K$9,0),7)</f>
        <v>7.4154300000000006E-2</v>
      </c>
      <c r="L16" s="232">
        <f>ROUND(VLOOKUP($E16,'BDEW-Standard'!$B$3:$M$158,L$9,0),1)</f>
        <v>40</v>
      </c>
      <c r="M16" s="231">
        <f>ROUND(VLOOKUP($E16,'BDEW-Standard'!$B$3:$M$158,M$9,0),7)</f>
        <v>0</v>
      </c>
      <c r="N16" s="231">
        <f>ROUND(VLOOKUP($E16,'BDEW-Standard'!$B$3:$M$158,N$9,0),7)</f>
        <v>0</v>
      </c>
      <c r="O16" s="231">
        <f>ROUND(VLOOKUP($E16,'BDEW-Standard'!$B$3:$M$158,O$9,0),7)</f>
        <v>0</v>
      </c>
      <c r="P16" s="231">
        <f>ROUND(VLOOKUP($E16,'BDEW-Standard'!$B$3:$M$158,P$9,0),7)</f>
        <v>0</v>
      </c>
      <c r="Q16" s="233">
        <f t="shared" si="1"/>
        <v>0.95195693288062622</v>
      </c>
      <c r="R16" s="234">
        <f>ROUND(VLOOKUP(MID($E16,4,3),'Wochentag F(WT)'!$B$7:$J$22,R$9,0),4)</f>
        <v>1</v>
      </c>
      <c r="S16" s="234">
        <f>ROUND(VLOOKUP(MID($E16,4,3),'Wochentag F(WT)'!$B$7:$J$22,S$9,0),4)</f>
        <v>1</v>
      </c>
      <c r="T16" s="234">
        <f>ROUND(VLOOKUP(MID($E16,4,3),'Wochentag F(WT)'!$B$7:$J$22,T$9,0),4)</f>
        <v>1</v>
      </c>
      <c r="U16" s="234">
        <f>ROUND(VLOOKUP(MID($E16,4,3),'Wochentag F(WT)'!$B$7:$J$22,U$9,0),4)</f>
        <v>1</v>
      </c>
      <c r="V16" s="234">
        <f>ROUND(VLOOKUP(MID($E16,4,3),'Wochentag F(WT)'!$B$7:$J$22,V$9,0),4)</f>
        <v>1</v>
      </c>
      <c r="W16" s="234">
        <f>ROUND(VLOOKUP(MID($E16,4,3),'Wochentag F(WT)'!$B$7:$J$22,W$9,0),4)</f>
        <v>1</v>
      </c>
      <c r="X16" s="235">
        <f t="shared" ref="X16" si="5">7-SUM(R16:W16)</f>
        <v>1</v>
      </c>
      <c r="Y16" s="248"/>
      <c r="Z16" s="173"/>
    </row>
    <row r="17" spans="2:26" s="118" customFormat="1">
      <c r="B17" s="119">
        <v>6</v>
      </c>
      <c r="C17" s="120" t="str">
        <f t="shared" si="0"/>
        <v>Ahrtal-Werke GmbH</v>
      </c>
      <c r="D17" s="46" t="s">
        <v>247</v>
      </c>
      <c r="E17" s="139" t="s">
        <v>658</v>
      </c>
      <c r="F17" s="252" t="str">
        <f>VLOOKUP($E17,'BDEW-Standard'!$B$3:$M$158,F$9,0)</f>
        <v>GB4</v>
      </c>
      <c r="H17" s="231">
        <f>ROUND(VLOOKUP($E17,'BDEW-Standard'!$B$3:$M$158,H$9,0),7)</f>
        <v>3.6017736</v>
      </c>
      <c r="I17" s="231">
        <f>ROUND(VLOOKUP($E17,'BDEW-Standard'!$B$3:$M$158,I$9,0),7)</f>
        <v>-37.882536799999997</v>
      </c>
      <c r="J17" s="231">
        <f>ROUND(VLOOKUP($E17,'BDEW-Standard'!$B$3:$M$158,J$9,0),7)</f>
        <v>6.9836070000000001</v>
      </c>
      <c r="K17" s="231">
        <f>ROUND(VLOOKUP($E17,'BDEW-Standard'!$B$3:$M$158,K$9,0),7)</f>
        <v>5.4826199999999999E-2</v>
      </c>
      <c r="L17" s="232">
        <f>ROUND(VLOOKUP($E17,'BDEW-Standard'!$B$3:$M$158,L$9,0),1)</f>
        <v>40</v>
      </c>
      <c r="M17" s="231">
        <f>ROUND(VLOOKUP($E17,'BDEW-Standard'!$B$3:$M$158,M$9,0),7)</f>
        <v>0</v>
      </c>
      <c r="N17" s="231">
        <f>ROUND(VLOOKUP($E17,'BDEW-Standard'!$B$3:$M$158,N$9,0),7)</f>
        <v>0</v>
      </c>
      <c r="O17" s="231">
        <f>ROUND(VLOOKUP($E17,'BDEW-Standard'!$B$3:$M$158,O$9,0),7)</f>
        <v>0</v>
      </c>
      <c r="P17" s="231">
        <f>ROUND(VLOOKUP($E17,'BDEW-Standard'!$B$3:$M$158,P$9,0),7)</f>
        <v>0</v>
      </c>
      <c r="Q17" s="233">
        <f t="shared" si="1"/>
        <v>0.90239375975311864</v>
      </c>
      <c r="R17" s="234">
        <f>ROUND(VLOOKUP(MID($E17,4,3),'Wochentag F(WT)'!$B$7:$J$22,R$9,0),4)</f>
        <v>0.98970000000000002</v>
      </c>
      <c r="S17" s="234">
        <f>ROUND(VLOOKUP(MID($E17,4,3),'Wochentag F(WT)'!$B$7:$J$22,S$9,0),4)</f>
        <v>0.9627</v>
      </c>
      <c r="T17" s="234">
        <f>ROUND(VLOOKUP(MID($E17,4,3),'Wochentag F(WT)'!$B$7:$J$22,T$9,0),4)</f>
        <v>1.0507</v>
      </c>
      <c r="U17" s="234">
        <f>ROUND(VLOOKUP(MID($E17,4,3),'Wochentag F(WT)'!$B$7:$J$22,U$9,0),4)</f>
        <v>1.0551999999999999</v>
      </c>
      <c r="V17" s="234">
        <f>ROUND(VLOOKUP(MID($E17,4,3),'Wochentag F(WT)'!$B$7:$J$22,V$9,0),4)</f>
        <v>1.0297000000000001</v>
      </c>
      <c r="W17" s="234">
        <f>ROUND(VLOOKUP(MID($E17,4,3),'Wochentag F(WT)'!$B$7:$J$22,W$9,0),4)</f>
        <v>0.97670000000000001</v>
      </c>
      <c r="X17" s="235">
        <f t="shared" ref="X17" si="6">7-SUM(R17:W17)</f>
        <v>0.9352999999999998</v>
      </c>
      <c r="Y17" s="248"/>
      <c r="Z17" s="173"/>
    </row>
    <row r="18" spans="2:26" s="118" customFormat="1">
      <c r="B18" s="119">
        <v>7</v>
      </c>
      <c r="C18" s="120" t="str">
        <f t="shared" si="0"/>
        <v>Ahrtal-Werke GmbH</v>
      </c>
      <c r="D18" s="46" t="s">
        <v>247</v>
      </c>
      <c r="E18" s="139" t="s">
        <v>659</v>
      </c>
      <c r="F18" s="252" t="str">
        <f>VLOOKUP($E18,'BDEW-Standard'!$B$3:$M$158,F$9,0)</f>
        <v>GA2</v>
      </c>
      <c r="H18" s="231">
        <f>ROUND(VLOOKUP($E18,'BDEW-Standard'!$B$3:$M$158,H$9,0),7)</f>
        <v>1.6487623</v>
      </c>
      <c r="I18" s="231">
        <f>ROUND(VLOOKUP($E18,'BDEW-Standard'!$B$3:$M$158,I$9,0),7)</f>
        <v>-36.399273600000001</v>
      </c>
      <c r="J18" s="231">
        <f>ROUND(VLOOKUP($E18,'BDEW-Standard'!$B$3:$M$158,J$9,0),7)</f>
        <v>6.2149172000000004</v>
      </c>
      <c r="K18" s="231">
        <f>ROUND(VLOOKUP($E18,'BDEW-Standard'!$B$3:$M$158,K$9,0),7)</f>
        <v>0.48776370000000002</v>
      </c>
      <c r="L18" s="232">
        <f>ROUND(VLOOKUP($E18,'BDEW-Standard'!$B$3:$M$158,L$9,0),1)</f>
        <v>40</v>
      </c>
      <c r="M18" s="231">
        <f>ROUND(VLOOKUP($E18,'BDEW-Standard'!$B$3:$M$158,M$9,0),7)</f>
        <v>0</v>
      </c>
      <c r="N18" s="231">
        <f>ROUND(VLOOKUP($E18,'BDEW-Standard'!$B$3:$M$158,N$9,0),7)</f>
        <v>0</v>
      </c>
      <c r="O18" s="231">
        <f>ROUND(VLOOKUP($E18,'BDEW-Standard'!$B$3:$M$158,O$9,0),7)</f>
        <v>0</v>
      </c>
      <c r="P18" s="231">
        <f>ROUND(VLOOKUP($E18,'BDEW-Standard'!$B$3:$M$158,P$9,0),7)</f>
        <v>0</v>
      </c>
      <c r="Q18" s="233">
        <f t="shared" si="1"/>
        <v>0.99872403842260959</v>
      </c>
      <c r="R18" s="234">
        <f>ROUND(VLOOKUP(MID($E18,4,3),'Wochentag F(WT)'!$B$7:$J$22,R$9,0),4)</f>
        <v>0.93220000000000003</v>
      </c>
      <c r="S18" s="234">
        <f>ROUND(VLOOKUP(MID($E18,4,3),'Wochentag F(WT)'!$B$7:$J$22,S$9,0),4)</f>
        <v>0.98939999999999995</v>
      </c>
      <c r="T18" s="234">
        <f>ROUND(VLOOKUP(MID($E18,4,3),'Wochentag F(WT)'!$B$7:$J$22,T$9,0),4)</f>
        <v>1.0033000000000001</v>
      </c>
      <c r="U18" s="234">
        <f>ROUND(VLOOKUP(MID($E18,4,3),'Wochentag F(WT)'!$B$7:$J$22,U$9,0),4)</f>
        <v>1.0108999999999999</v>
      </c>
      <c r="V18" s="234">
        <f>ROUND(VLOOKUP(MID($E18,4,3),'Wochentag F(WT)'!$B$7:$J$22,V$9,0),4)</f>
        <v>1.018</v>
      </c>
      <c r="W18" s="234">
        <f>ROUND(VLOOKUP(MID($E18,4,3),'Wochentag F(WT)'!$B$7:$J$22,W$9,0),4)</f>
        <v>1.0356000000000001</v>
      </c>
      <c r="X18" s="235">
        <f t="shared" ref="X18:X26" si="7">7-SUM(R18:W18)</f>
        <v>1.0106000000000002</v>
      </c>
      <c r="Y18" s="248"/>
      <c r="Z18" s="173"/>
    </row>
    <row r="19" spans="2:26" s="118" customFormat="1">
      <c r="B19" s="119">
        <v>8</v>
      </c>
      <c r="C19" s="120" t="str">
        <f t="shared" si="0"/>
        <v>Ahrtal-Werke GmbH</v>
      </c>
      <c r="D19" s="46" t="s">
        <v>247</v>
      </c>
      <c r="E19" s="139" t="s">
        <v>660</v>
      </c>
      <c r="F19" s="252" t="str">
        <f>VLOOKUP($E19,'BDEW-Standard'!$B$3:$M$158,F$9,0)</f>
        <v>GA3</v>
      </c>
      <c r="H19" s="231">
        <f>ROUND(VLOOKUP($E19,'BDEW-Standard'!$B$3:$M$158,H$9,0),7)</f>
        <v>2.2850164999999998</v>
      </c>
      <c r="I19" s="231">
        <f>ROUND(VLOOKUP($E19,'BDEW-Standard'!$B$3:$M$158,I$9,0),7)</f>
        <v>-36.287858399999998</v>
      </c>
      <c r="J19" s="231">
        <f>ROUND(VLOOKUP($E19,'BDEW-Standard'!$B$3:$M$158,J$9,0),7)</f>
        <v>6.5885125999999996</v>
      </c>
      <c r="K19" s="231">
        <f>ROUND(VLOOKUP($E19,'BDEW-Standard'!$B$3:$M$158,K$9,0),7)</f>
        <v>0.31505349999999999</v>
      </c>
      <c r="L19" s="232">
        <f>ROUND(VLOOKUP($E19,'BDEW-Standard'!$B$3:$M$158,L$9,0),1)</f>
        <v>40</v>
      </c>
      <c r="M19" s="231">
        <f>ROUND(VLOOKUP($E19,'BDEW-Standard'!$B$3:$M$158,M$9,0),7)</f>
        <v>0</v>
      </c>
      <c r="N19" s="231">
        <f>ROUND(VLOOKUP($E19,'BDEW-Standard'!$B$3:$M$158,N$9,0),7)</f>
        <v>0</v>
      </c>
      <c r="O19" s="231">
        <f>ROUND(VLOOKUP($E19,'BDEW-Standard'!$B$3:$M$158,O$9,0),7)</f>
        <v>0</v>
      </c>
      <c r="P19" s="231">
        <f>ROUND(VLOOKUP($E19,'BDEW-Standard'!$B$3:$M$158,P$9,0),7)</f>
        <v>0</v>
      </c>
      <c r="Q19" s="233">
        <f t="shared" si="1"/>
        <v>1.0096183914256316</v>
      </c>
      <c r="R19" s="234">
        <f>ROUND(VLOOKUP(MID($E19,4,3),'Wochentag F(WT)'!$B$7:$J$22,R$9,0),4)</f>
        <v>0.93220000000000003</v>
      </c>
      <c r="S19" s="234">
        <f>ROUND(VLOOKUP(MID($E19,4,3),'Wochentag F(WT)'!$B$7:$J$22,S$9,0),4)</f>
        <v>0.98939999999999995</v>
      </c>
      <c r="T19" s="234">
        <f>ROUND(VLOOKUP(MID($E19,4,3),'Wochentag F(WT)'!$B$7:$J$22,T$9,0),4)</f>
        <v>1.0033000000000001</v>
      </c>
      <c r="U19" s="234">
        <f>ROUND(VLOOKUP(MID($E19,4,3),'Wochentag F(WT)'!$B$7:$J$22,U$9,0),4)</f>
        <v>1.0108999999999999</v>
      </c>
      <c r="V19" s="234">
        <f>ROUND(VLOOKUP(MID($E19,4,3),'Wochentag F(WT)'!$B$7:$J$22,V$9,0),4)</f>
        <v>1.018</v>
      </c>
      <c r="W19" s="234">
        <f>ROUND(VLOOKUP(MID($E19,4,3),'Wochentag F(WT)'!$B$7:$J$22,W$9,0),4)</f>
        <v>1.0356000000000001</v>
      </c>
      <c r="X19" s="235">
        <f t="shared" si="7"/>
        <v>1.0106000000000002</v>
      </c>
      <c r="Y19" s="248"/>
      <c r="Z19" s="173"/>
    </row>
    <row r="20" spans="2:26" s="118" customFormat="1">
      <c r="B20" s="119">
        <v>9</v>
      </c>
      <c r="C20" s="120" t="str">
        <f t="shared" si="0"/>
        <v>Ahrtal-Werke GmbH</v>
      </c>
      <c r="D20" s="46" t="s">
        <v>247</v>
      </c>
      <c r="E20" s="139" t="s">
        <v>661</v>
      </c>
      <c r="F20" s="252" t="str">
        <f>VLOOKUP($E20,'BDEW-Standard'!$B$3:$M$158,F$9,0)</f>
        <v>GA4</v>
      </c>
      <c r="H20" s="231">
        <f>ROUND(VLOOKUP($E20,'BDEW-Standard'!$B$3:$M$158,H$9,0),7)</f>
        <v>2.8195655999999998</v>
      </c>
      <c r="I20" s="231">
        <f>ROUND(VLOOKUP($E20,'BDEW-Standard'!$B$3:$M$158,I$9,0),7)</f>
        <v>-36</v>
      </c>
      <c r="J20" s="231">
        <f>ROUND(VLOOKUP($E20,'BDEW-Standard'!$B$3:$M$158,J$9,0),7)</f>
        <v>7.7368518000000002</v>
      </c>
      <c r="K20" s="231">
        <f>ROUND(VLOOKUP($E20,'BDEW-Standard'!$B$3:$M$158,K$9,0),7)</f>
        <v>0.157281</v>
      </c>
      <c r="L20" s="232">
        <f>ROUND(VLOOKUP($E20,'BDEW-Standard'!$B$3:$M$158,L$9,0),1)</f>
        <v>40</v>
      </c>
      <c r="M20" s="231">
        <f>ROUND(VLOOKUP($E20,'BDEW-Standard'!$B$3:$M$158,M$9,0),7)</f>
        <v>0</v>
      </c>
      <c r="N20" s="231">
        <f>ROUND(VLOOKUP($E20,'BDEW-Standard'!$B$3:$M$158,N$9,0),7)</f>
        <v>0</v>
      </c>
      <c r="O20" s="231">
        <f>ROUND(VLOOKUP($E20,'BDEW-Standard'!$B$3:$M$158,O$9,0),7)</f>
        <v>0</v>
      </c>
      <c r="P20" s="231">
        <f>ROUND(VLOOKUP($E20,'BDEW-Standard'!$B$3:$M$158,P$9,0),7)</f>
        <v>0</v>
      </c>
      <c r="Q20" s="233">
        <f t="shared" si="1"/>
        <v>0.96576337685759206</v>
      </c>
      <c r="R20" s="234">
        <f>ROUND(VLOOKUP(MID($E20,4,3),'Wochentag F(WT)'!$B$7:$J$22,R$9,0),4)</f>
        <v>0.93220000000000003</v>
      </c>
      <c r="S20" s="234">
        <f>ROUND(VLOOKUP(MID($E20,4,3),'Wochentag F(WT)'!$B$7:$J$22,S$9,0),4)</f>
        <v>0.98939999999999995</v>
      </c>
      <c r="T20" s="234">
        <f>ROUND(VLOOKUP(MID($E20,4,3),'Wochentag F(WT)'!$B$7:$J$22,T$9,0),4)</f>
        <v>1.0033000000000001</v>
      </c>
      <c r="U20" s="234">
        <f>ROUND(VLOOKUP(MID($E20,4,3),'Wochentag F(WT)'!$B$7:$J$22,U$9,0),4)</f>
        <v>1.0108999999999999</v>
      </c>
      <c r="V20" s="234">
        <f>ROUND(VLOOKUP(MID($E20,4,3),'Wochentag F(WT)'!$B$7:$J$22,V$9,0),4)</f>
        <v>1.018</v>
      </c>
      <c r="W20" s="234">
        <f>ROUND(VLOOKUP(MID($E20,4,3),'Wochentag F(WT)'!$B$7:$J$22,W$9,0),4)</f>
        <v>1.0356000000000001</v>
      </c>
      <c r="X20" s="235">
        <f t="shared" si="7"/>
        <v>1.0106000000000002</v>
      </c>
      <c r="Y20" s="248"/>
      <c r="Z20" s="173"/>
    </row>
    <row r="21" spans="2:26" s="118" customFormat="1">
      <c r="B21" s="119">
        <v>10</v>
      </c>
      <c r="C21" s="120" t="str">
        <f t="shared" si="0"/>
        <v>Ahrtal-Werke GmbH</v>
      </c>
      <c r="D21" s="46" t="s">
        <v>247</v>
      </c>
      <c r="E21" s="139" t="s">
        <v>662</v>
      </c>
      <c r="F21" s="252" t="str">
        <f>VLOOKUP($E21,'BDEW-Standard'!$B$3:$M$158,F$9,0)</f>
        <v>HA2</v>
      </c>
      <c r="H21" s="231">
        <f>ROUND(VLOOKUP($E21,'BDEW-Standard'!$B$3:$M$158,H$9,0),7)</f>
        <v>2.8544749</v>
      </c>
      <c r="I21" s="231">
        <f>ROUND(VLOOKUP($E21,'BDEW-Standard'!$B$3:$M$158,I$9,0),7)</f>
        <v>-35.629423099999997</v>
      </c>
      <c r="J21" s="231">
        <f>ROUND(VLOOKUP($E21,'BDEW-Standard'!$B$3:$M$158,J$9,0),7)</f>
        <v>7.0058264000000001</v>
      </c>
      <c r="K21" s="231">
        <f>ROUND(VLOOKUP($E21,'BDEW-Standard'!$B$3:$M$158,K$9,0),7)</f>
        <v>0.1164772</v>
      </c>
      <c r="L21" s="232">
        <f>ROUND(VLOOKUP($E21,'BDEW-Standard'!$B$3:$M$158,L$9,0),1)</f>
        <v>40</v>
      </c>
      <c r="M21" s="231">
        <f>ROUND(VLOOKUP($E21,'BDEW-Standard'!$B$3:$M$158,M$9,0),7)</f>
        <v>0</v>
      </c>
      <c r="N21" s="231">
        <f>ROUND(VLOOKUP($E21,'BDEW-Standard'!$B$3:$M$158,N$9,0),7)</f>
        <v>0</v>
      </c>
      <c r="O21" s="231">
        <f>ROUND(VLOOKUP($E21,'BDEW-Standard'!$B$3:$M$158,O$9,0),7)</f>
        <v>0</v>
      </c>
      <c r="P21" s="231">
        <f>ROUND(VLOOKUP($E21,'BDEW-Standard'!$B$3:$M$158,P$9,0),7)</f>
        <v>0</v>
      </c>
      <c r="Q21" s="233">
        <f t="shared" si="1"/>
        <v>1.0305892203877964</v>
      </c>
      <c r="R21" s="234">
        <f>ROUND(VLOOKUP(MID($E21,4,3),'Wochentag F(WT)'!$B$7:$J$22,R$9,0),4)</f>
        <v>1.0358000000000001</v>
      </c>
      <c r="S21" s="234">
        <f>ROUND(VLOOKUP(MID($E21,4,3),'Wochentag F(WT)'!$B$7:$J$22,S$9,0),4)</f>
        <v>1.0232000000000001</v>
      </c>
      <c r="T21" s="234">
        <f>ROUND(VLOOKUP(MID($E21,4,3),'Wochentag F(WT)'!$B$7:$J$22,T$9,0),4)</f>
        <v>1.0251999999999999</v>
      </c>
      <c r="U21" s="234">
        <f>ROUND(VLOOKUP(MID($E21,4,3),'Wochentag F(WT)'!$B$7:$J$22,U$9,0),4)</f>
        <v>1.0295000000000001</v>
      </c>
      <c r="V21" s="234">
        <f>ROUND(VLOOKUP(MID($E21,4,3),'Wochentag F(WT)'!$B$7:$J$22,V$9,0),4)</f>
        <v>1.0253000000000001</v>
      </c>
      <c r="W21" s="234">
        <f>ROUND(VLOOKUP(MID($E21,4,3),'Wochentag F(WT)'!$B$7:$J$22,W$9,0),4)</f>
        <v>0.96750000000000003</v>
      </c>
      <c r="X21" s="235">
        <f t="shared" si="7"/>
        <v>0.89350000000000041</v>
      </c>
      <c r="Y21" s="248"/>
      <c r="Z21" s="173"/>
    </row>
    <row r="22" spans="2:26" s="118" customFormat="1">
      <c r="B22" s="119">
        <v>11</v>
      </c>
      <c r="C22" s="120" t="str">
        <f t="shared" si="0"/>
        <v>Ahrtal-Werke GmbH</v>
      </c>
      <c r="D22" s="46" t="s">
        <v>247</v>
      </c>
      <c r="E22" s="139" t="s">
        <v>663</v>
      </c>
      <c r="F22" s="252" t="str">
        <f>VLOOKUP($E22,'BDEW-Standard'!$B$3:$M$158,F$9,0)</f>
        <v>HA3</v>
      </c>
      <c r="H22" s="231">
        <f>ROUND(VLOOKUP($E22,'BDEW-Standard'!$B$3:$M$158,H$9,0),7)</f>
        <v>3.5811213999999998</v>
      </c>
      <c r="I22" s="231">
        <f>ROUND(VLOOKUP($E22,'BDEW-Standard'!$B$3:$M$158,I$9,0),7)</f>
        <v>-36.965006500000001</v>
      </c>
      <c r="J22" s="231">
        <f>ROUND(VLOOKUP($E22,'BDEW-Standard'!$B$3:$M$158,J$9,0),7)</f>
        <v>7.2256947</v>
      </c>
      <c r="K22" s="231">
        <f>ROUND(VLOOKUP($E22,'BDEW-Standard'!$B$3:$M$158,K$9,0),7)</f>
        <v>4.4841600000000002E-2</v>
      </c>
      <c r="L22" s="232">
        <f>ROUND(VLOOKUP($E22,'BDEW-Standard'!$B$3:$M$158,L$9,0),1)</f>
        <v>40</v>
      </c>
      <c r="M22" s="231">
        <f>ROUND(VLOOKUP($E22,'BDEW-Standard'!$B$3:$M$158,M$9,0),7)</f>
        <v>0</v>
      </c>
      <c r="N22" s="231">
        <f>ROUND(VLOOKUP($E22,'BDEW-Standard'!$B$3:$M$158,N$9,0),7)</f>
        <v>0</v>
      </c>
      <c r="O22" s="231">
        <f>ROUND(VLOOKUP($E22,'BDEW-Standard'!$B$3:$M$158,O$9,0),7)</f>
        <v>0</v>
      </c>
      <c r="P22" s="231">
        <f>ROUND(VLOOKUP($E22,'BDEW-Standard'!$B$3:$M$158,P$9,0),7)</f>
        <v>0</v>
      </c>
      <c r="Q22" s="233">
        <f t="shared" si="1"/>
        <v>0.97852945357176691</v>
      </c>
      <c r="R22" s="234">
        <f>ROUND(VLOOKUP(MID($E22,4,3),'Wochentag F(WT)'!$B$7:$J$22,R$9,0),4)</f>
        <v>1.0358000000000001</v>
      </c>
      <c r="S22" s="234">
        <f>ROUND(VLOOKUP(MID($E22,4,3),'Wochentag F(WT)'!$B$7:$J$22,S$9,0),4)</f>
        <v>1.0232000000000001</v>
      </c>
      <c r="T22" s="234">
        <f>ROUND(VLOOKUP(MID($E22,4,3),'Wochentag F(WT)'!$B$7:$J$22,T$9,0),4)</f>
        <v>1.0251999999999999</v>
      </c>
      <c r="U22" s="234">
        <f>ROUND(VLOOKUP(MID($E22,4,3),'Wochentag F(WT)'!$B$7:$J$22,U$9,0),4)</f>
        <v>1.0295000000000001</v>
      </c>
      <c r="V22" s="234">
        <f>ROUND(VLOOKUP(MID($E22,4,3),'Wochentag F(WT)'!$B$7:$J$22,V$9,0),4)</f>
        <v>1.0253000000000001</v>
      </c>
      <c r="W22" s="234">
        <f>ROUND(VLOOKUP(MID($E22,4,3),'Wochentag F(WT)'!$B$7:$J$22,W$9,0),4)</f>
        <v>0.96750000000000003</v>
      </c>
      <c r="X22" s="235">
        <f t="shared" si="7"/>
        <v>0.89350000000000041</v>
      </c>
      <c r="Y22" s="248"/>
      <c r="Z22" s="173"/>
    </row>
    <row r="23" spans="2:26" s="118" customFormat="1">
      <c r="B23" s="119">
        <v>12</v>
      </c>
      <c r="C23" s="120" t="str">
        <f t="shared" si="0"/>
        <v>Ahrtal-Werke GmbH</v>
      </c>
      <c r="D23" s="46" t="s">
        <v>247</v>
      </c>
      <c r="E23" s="139" t="s">
        <v>664</v>
      </c>
      <c r="F23" s="252" t="str">
        <f>VLOOKUP($E23,'BDEW-Standard'!$B$3:$M$158,F$9,0)</f>
        <v>HA4</v>
      </c>
      <c r="H23" s="231">
        <f>ROUND(VLOOKUP($E23,'BDEW-Standard'!$B$3:$M$158,H$9,0),7)</f>
        <v>4.0196902000000003</v>
      </c>
      <c r="I23" s="231">
        <f>ROUND(VLOOKUP($E23,'BDEW-Standard'!$B$3:$M$158,I$9,0),7)</f>
        <v>-37.828203700000003</v>
      </c>
      <c r="J23" s="231">
        <f>ROUND(VLOOKUP($E23,'BDEW-Standard'!$B$3:$M$158,J$9,0),7)</f>
        <v>8.1593368999999996</v>
      </c>
      <c r="K23" s="231">
        <f>ROUND(VLOOKUP($E23,'BDEW-Standard'!$B$3:$M$158,K$9,0),7)</f>
        <v>4.72845E-2</v>
      </c>
      <c r="L23" s="232">
        <f>ROUND(VLOOKUP($E23,'BDEW-Standard'!$B$3:$M$158,L$9,0),1)</f>
        <v>40</v>
      </c>
      <c r="M23" s="231">
        <f>ROUND(VLOOKUP($E23,'BDEW-Standard'!$B$3:$M$158,M$9,0),7)</f>
        <v>0</v>
      </c>
      <c r="N23" s="231">
        <f>ROUND(VLOOKUP($E23,'BDEW-Standard'!$B$3:$M$158,N$9,0),7)</f>
        <v>0</v>
      </c>
      <c r="O23" s="231">
        <f>ROUND(VLOOKUP($E23,'BDEW-Standard'!$B$3:$M$158,O$9,0),7)</f>
        <v>0</v>
      </c>
      <c r="P23" s="231">
        <f>ROUND(VLOOKUP($E23,'BDEW-Standard'!$B$3:$M$158,P$9,0),7)</f>
        <v>0</v>
      </c>
      <c r="Q23" s="233">
        <f t="shared" si="1"/>
        <v>0.86486713303260787</v>
      </c>
      <c r="R23" s="234">
        <f>ROUND(VLOOKUP(MID($E23,4,3),'Wochentag F(WT)'!$B$7:$J$22,R$9,0),4)</f>
        <v>1.0358000000000001</v>
      </c>
      <c r="S23" s="234">
        <f>ROUND(VLOOKUP(MID($E23,4,3),'Wochentag F(WT)'!$B$7:$J$22,S$9,0),4)</f>
        <v>1.0232000000000001</v>
      </c>
      <c r="T23" s="234">
        <f>ROUND(VLOOKUP(MID($E23,4,3),'Wochentag F(WT)'!$B$7:$J$22,T$9,0),4)</f>
        <v>1.0251999999999999</v>
      </c>
      <c r="U23" s="234">
        <f>ROUND(VLOOKUP(MID($E23,4,3),'Wochentag F(WT)'!$B$7:$J$22,U$9,0),4)</f>
        <v>1.0295000000000001</v>
      </c>
      <c r="V23" s="234">
        <f>ROUND(VLOOKUP(MID($E23,4,3),'Wochentag F(WT)'!$B$7:$J$22,V$9,0),4)</f>
        <v>1.0253000000000001</v>
      </c>
      <c r="W23" s="234">
        <f>ROUND(VLOOKUP(MID($E23,4,3),'Wochentag F(WT)'!$B$7:$J$22,W$9,0),4)</f>
        <v>0.96750000000000003</v>
      </c>
      <c r="X23" s="235">
        <f t="shared" si="7"/>
        <v>0.89350000000000041</v>
      </c>
      <c r="Y23" s="248"/>
      <c r="Z23" s="173"/>
    </row>
    <row r="24" spans="2:26" s="118" customFormat="1">
      <c r="B24" s="119">
        <v>13</v>
      </c>
      <c r="C24" s="120" t="str">
        <f t="shared" si="0"/>
        <v>Ahrtal-Werke GmbH</v>
      </c>
      <c r="D24" s="46" t="s">
        <v>247</v>
      </c>
      <c r="E24" s="139" t="s">
        <v>665</v>
      </c>
      <c r="F24" s="252" t="str">
        <f>VLOOKUP($E24,'BDEW-Standard'!$B$3:$M$158,F$9,0)</f>
        <v>MF4</v>
      </c>
      <c r="H24" s="231">
        <f>ROUND(VLOOKUP($E24,'BDEW-Standard'!$B$3:$M$158,H$9,0),7)</f>
        <v>2.5187775000000001</v>
      </c>
      <c r="I24" s="231">
        <f>ROUND(VLOOKUP($E24,'BDEW-Standard'!$B$3:$M$158,I$9,0),7)</f>
        <v>-35.033375399999997</v>
      </c>
      <c r="J24" s="231">
        <f>ROUND(VLOOKUP($E24,'BDEW-Standard'!$B$3:$M$158,J$9,0),7)</f>
        <v>6.2240634000000004</v>
      </c>
      <c r="K24" s="231">
        <f>ROUND(VLOOKUP($E24,'BDEW-Standard'!$B$3:$M$158,K$9,0),7)</f>
        <v>0.10107820000000001</v>
      </c>
      <c r="L24" s="232">
        <f>ROUND(VLOOKUP($E24,'BDEW-Standard'!$B$3:$M$158,L$9,0),1)</f>
        <v>40</v>
      </c>
      <c r="M24" s="231">
        <f>ROUND(VLOOKUP($E24,'BDEW-Standard'!$B$3:$M$158,M$9,0),7)</f>
        <v>0</v>
      </c>
      <c r="N24" s="231">
        <f>ROUND(VLOOKUP($E24,'BDEW-Standard'!$B$3:$M$158,N$9,0),7)</f>
        <v>0</v>
      </c>
      <c r="O24" s="231">
        <f>ROUND(VLOOKUP($E24,'BDEW-Standard'!$B$3:$M$158,O$9,0),7)</f>
        <v>0</v>
      </c>
      <c r="P24" s="231">
        <f>ROUND(VLOOKUP($E24,'BDEW-Standard'!$B$3:$M$158,P$9,0),7)</f>
        <v>0</v>
      </c>
      <c r="Q24" s="233">
        <f t="shared" si="1"/>
        <v>1.0146273685996503</v>
      </c>
      <c r="R24" s="234">
        <f>ROUND(VLOOKUP(MID($E24,4,3),'Wochentag F(WT)'!$B$7:$J$22,R$9,0),4)</f>
        <v>1.0354000000000001</v>
      </c>
      <c r="S24" s="234">
        <f>ROUND(VLOOKUP(MID($E24,4,3),'Wochentag F(WT)'!$B$7:$J$22,S$9,0),4)</f>
        <v>1.0523</v>
      </c>
      <c r="T24" s="234">
        <f>ROUND(VLOOKUP(MID($E24,4,3),'Wochentag F(WT)'!$B$7:$J$22,T$9,0),4)</f>
        <v>1.0448999999999999</v>
      </c>
      <c r="U24" s="234">
        <f>ROUND(VLOOKUP(MID($E24,4,3),'Wochentag F(WT)'!$B$7:$J$22,U$9,0),4)</f>
        <v>1.0494000000000001</v>
      </c>
      <c r="V24" s="234">
        <f>ROUND(VLOOKUP(MID($E24,4,3),'Wochentag F(WT)'!$B$7:$J$22,V$9,0),4)</f>
        <v>0.98850000000000005</v>
      </c>
      <c r="W24" s="234">
        <f>ROUND(VLOOKUP(MID($E24,4,3),'Wochentag F(WT)'!$B$7:$J$22,W$9,0),4)</f>
        <v>0.88600000000000001</v>
      </c>
      <c r="X24" s="235">
        <f t="shared" si="7"/>
        <v>0.94349999999999934</v>
      </c>
      <c r="Y24" s="248"/>
      <c r="Z24" s="173"/>
    </row>
    <row r="25" spans="2:26" s="118" customFormat="1">
      <c r="B25" s="119">
        <v>14</v>
      </c>
      <c r="C25" s="120" t="str">
        <f t="shared" si="0"/>
        <v>Ahrtal-Werke GmbH</v>
      </c>
      <c r="D25" s="46" t="s">
        <v>247</v>
      </c>
      <c r="E25" s="139" t="s">
        <v>666</v>
      </c>
      <c r="F25" s="252" t="str">
        <f>VLOOKUP($E25,'BDEW-Standard'!$B$3:$M$158,F$9,0)</f>
        <v>MK4</v>
      </c>
      <c r="H25" s="231">
        <f>ROUND(VLOOKUP($E25,'BDEW-Standard'!$B$3:$M$158,H$9,0),7)</f>
        <v>3.1177248</v>
      </c>
      <c r="I25" s="231">
        <f>ROUND(VLOOKUP($E25,'BDEW-Standard'!$B$3:$M$158,I$9,0),7)</f>
        <v>-35.871506199999999</v>
      </c>
      <c r="J25" s="231">
        <f>ROUND(VLOOKUP($E25,'BDEW-Standard'!$B$3:$M$158,J$9,0),7)</f>
        <v>7.5186828999999999</v>
      </c>
      <c r="K25" s="231">
        <f>ROUND(VLOOKUP($E25,'BDEW-Standard'!$B$3:$M$158,K$9,0),7)</f>
        <v>3.4330100000000002E-2</v>
      </c>
      <c r="L25" s="232">
        <f>ROUND(VLOOKUP($E25,'BDEW-Standard'!$B$3:$M$158,L$9,0),1)</f>
        <v>40</v>
      </c>
      <c r="M25" s="231">
        <f>ROUND(VLOOKUP($E25,'BDEW-Standard'!$B$3:$M$158,M$9,0),7)</f>
        <v>0</v>
      </c>
      <c r="N25" s="231">
        <f>ROUND(VLOOKUP($E25,'BDEW-Standard'!$B$3:$M$158,N$9,0),7)</f>
        <v>0</v>
      </c>
      <c r="O25" s="231">
        <f>ROUND(VLOOKUP($E25,'BDEW-Standard'!$B$3:$M$158,O$9,0),7)</f>
        <v>0</v>
      </c>
      <c r="P25" s="231">
        <f>ROUND(VLOOKUP($E25,'BDEW-Standard'!$B$3:$M$158,P$9,0),7)</f>
        <v>0</v>
      </c>
      <c r="Q25" s="233">
        <f t="shared" si="1"/>
        <v>0.9622064996731321</v>
      </c>
      <c r="R25" s="234">
        <f>ROUND(VLOOKUP(MID($E25,4,3),'Wochentag F(WT)'!$B$7:$J$22,R$9,0),4)</f>
        <v>1.0699000000000001</v>
      </c>
      <c r="S25" s="234">
        <f>ROUND(VLOOKUP(MID($E25,4,3),'Wochentag F(WT)'!$B$7:$J$22,S$9,0),4)</f>
        <v>1.0365</v>
      </c>
      <c r="T25" s="234">
        <f>ROUND(VLOOKUP(MID($E25,4,3),'Wochentag F(WT)'!$B$7:$J$22,T$9,0),4)</f>
        <v>0.99329999999999996</v>
      </c>
      <c r="U25" s="234">
        <f>ROUND(VLOOKUP(MID($E25,4,3),'Wochentag F(WT)'!$B$7:$J$22,U$9,0),4)</f>
        <v>0.99480000000000002</v>
      </c>
      <c r="V25" s="234">
        <f>ROUND(VLOOKUP(MID($E25,4,3),'Wochentag F(WT)'!$B$7:$J$22,V$9,0),4)</f>
        <v>1.0659000000000001</v>
      </c>
      <c r="W25" s="234">
        <f>ROUND(VLOOKUP(MID($E25,4,3),'Wochentag F(WT)'!$B$7:$J$22,W$9,0),4)</f>
        <v>0.93620000000000003</v>
      </c>
      <c r="X25" s="235">
        <f t="shared" si="7"/>
        <v>0.90339999999999954</v>
      </c>
      <c r="Y25" s="248"/>
      <c r="Z25" s="173"/>
    </row>
    <row r="26" spans="2:26" s="118" customFormat="1">
      <c r="B26" s="119">
        <v>15</v>
      </c>
      <c r="C26" s="120" t="str">
        <f t="shared" si="0"/>
        <v>Ahrtal-Werke GmbH</v>
      </c>
      <c r="D26" s="46" t="s">
        <v>247</v>
      </c>
      <c r="E26" s="139" t="s">
        <v>42</v>
      </c>
      <c r="F26" s="252" t="str">
        <f>VLOOKUP($E26,'BDEW-Standard'!$B$3:$M$158,F$9,0)</f>
        <v>P23</v>
      </c>
      <c r="H26" s="231">
        <f>ROUND(VLOOKUP($E26,'BDEW-Standard'!$B$3:$M$158,H$9,0),7)</f>
        <v>2.3767684</v>
      </c>
      <c r="I26" s="231">
        <f>ROUND(VLOOKUP($E26,'BDEW-Standard'!$B$3:$M$158,I$9,0),7)</f>
        <v>-34.719233299999999</v>
      </c>
      <c r="J26" s="231">
        <f>ROUND(VLOOKUP($E26,'BDEW-Standard'!$B$3:$M$158,J$9,0),7)</f>
        <v>5.8332161999999999</v>
      </c>
      <c r="K26" s="231">
        <f>ROUND(VLOOKUP($E26,'BDEW-Standard'!$B$3:$M$158,K$9,0),7)</f>
        <v>0.1189572</v>
      </c>
      <c r="L26" s="232">
        <f>ROUND(VLOOKUP($E26,'BDEW-Standard'!$B$3:$M$158,L$9,0),1)</f>
        <v>40</v>
      </c>
      <c r="M26" s="231">
        <f>ROUND(VLOOKUP($E26,'BDEW-Standard'!$B$3:$M$158,M$9,0),7)</f>
        <v>0</v>
      </c>
      <c r="N26" s="231">
        <f>ROUND(VLOOKUP($E26,'BDEW-Standard'!$B$3:$M$158,N$9,0),7)</f>
        <v>0</v>
      </c>
      <c r="O26" s="231">
        <f>ROUND(VLOOKUP($E26,'BDEW-Standard'!$B$3:$M$158,O$9,0),7)</f>
        <v>0</v>
      </c>
      <c r="P26" s="231">
        <f>ROUND(VLOOKUP($E26,'BDEW-Standard'!$B$3:$M$158,P$9,0),7)</f>
        <v>0</v>
      </c>
      <c r="Q26" s="233">
        <f t="shared" si="1"/>
        <v>1.0298713008737617</v>
      </c>
      <c r="R26" s="234">
        <f>ROUND(VLOOKUP(MID($E26,4,3),'Wochentag F(WT)'!$B$7:$J$22,R$9,0),4)</f>
        <v>1</v>
      </c>
      <c r="S26" s="234">
        <f>ROUND(VLOOKUP(MID($E26,4,3),'Wochentag F(WT)'!$B$7:$J$22,S$9,0),4)</f>
        <v>1</v>
      </c>
      <c r="T26" s="234">
        <f>ROUND(VLOOKUP(MID($E26,4,3),'Wochentag F(WT)'!$B$7:$J$22,T$9,0),4)</f>
        <v>1</v>
      </c>
      <c r="U26" s="234">
        <f>ROUND(VLOOKUP(MID($E26,4,3),'Wochentag F(WT)'!$B$7:$J$22,U$9,0),4)</f>
        <v>1</v>
      </c>
      <c r="V26" s="234">
        <f>ROUND(VLOOKUP(MID($E26,4,3),'Wochentag F(WT)'!$B$7:$J$22,V$9,0),4)</f>
        <v>1</v>
      </c>
      <c r="W26" s="234">
        <f>ROUND(VLOOKUP(MID($E26,4,3),'Wochentag F(WT)'!$B$7:$J$22,W$9,0),4)</f>
        <v>1</v>
      </c>
      <c r="X26" s="235">
        <f t="shared" si="7"/>
        <v>1</v>
      </c>
      <c r="Y26" s="248"/>
      <c r="Z26" s="173"/>
    </row>
    <row r="27" spans="2:26" s="118" customFormat="1">
      <c r="B27" s="119">
        <v>16</v>
      </c>
      <c r="C27" s="120" t="str">
        <f t="shared" si="0"/>
        <v>Ahrtal-Werke GmbH</v>
      </c>
      <c r="D27" s="46" t="s">
        <v>247</v>
      </c>
      <c r="E27" s="139" t="s">
        <v>46</v>
      </c>
      <c r="F27" s="252" t="str">
        <f>VLOOKUP($E27,'BDEW-Standard'!$B$3:$M$158,F$9,0)</f>
        <v>P24</v>
      </c>
      <c r="H27" s="231">
        <f>ROUND(VLOOKUP($E27,'BDEW-Standard'!$B$3:$M$158,H$9,0),7)</f>
        <v>2.5078170000000002</v>
      </c>
      <c r="I27" s="231">
        <f>ROUND(VLOOKUP($E27,'BDEW-Standard'!$B$3:$M$158,I$9,0),7)</f>
        <v>-35.036736300000001</v>
      </c>
      <c r="J27" s="231">
        <f>ROUND(VLOOKUP($E27,'BDEW-Standard'!$B$3:$M$158,J$9,0),7)</f>
        <v>6.2430158999999996</v>
      </c>
      <c r="K27" s="231">
        <f>ROUND(VLOOKUP($E27,'BDEW-Standard'!$B$3:$M$158,K$9,0),7)</f>
        <v>0.1001118</v>
      </c>
      <c r="L27" s="232">
        <f>ROUND(VLOOKUP($E27,'BDEW-Standard'!$B$3:$M$158,L$9,0),1)</f>
        <v>40</v>
      </c>
      <c r="M27" s="231">
        <f>ROUND(VLOOKUP($E27,'BDEW-Standard'!$B$3:$M$158,M$9,0),7)</f>
        <v>0</v>
      </c>
      <c r="N27" s="231">
        <f>ROUND(VLOOKUP($E27,'BDEW-Standard'!$B$3:$M$158,N$9,0),7)</f>
        <v>0</v>
      </c>
      <c r="O27" s="231">
        <f>ROUND(VLOOKUP($E27,'BDEW-Standard'!$B$3:$M$158,O$9,0),7)</f>
        <v>0</v>
      </c>
      <c r="P27" s="231">
        <f>ROUND(VLOOKUP($E27,'BDEW-Standard'!$B$3:$M$158,P$9,0),7)</f>
        <v>0</v>
      </c>
      <c r="Q27" s="233">
        <f t="shared" si="1"/>
        <v>1.0083439326442527</v>
      </c>
      <c r="R27" s="234">
        <f>ROUND(VLOOKUP(MID($E27,4,3),'Wochentag F(WT)'!$B$7:$J$22,R$9,0),4)</f>
        <v>1</v>
      </c>
      <c r="S27" s="234">
        <f>ROUND(VLOOKUP(MID($E27,4,3),'Wochentag F(WT)'!$B$7:$J$22,S$9,0),4)</f>
        <v>1</v>
      </c>
      <c r="T27" s="234">
        <f>ROUND(VLOOKUP(MID($E27,4,3),'Wochentag F(WT)'!$B$7:$J$22,T$9,0),4)</f>
        <v>1</v>
      </c>
      <c r="U27" s="234">
        <f>ROUND(VLOOKUP(MID($E27,4,3),'Wochentag F(WT)'!$B$7:$J$22,U$9,0),4)</f>
        <v>1</v>
      </c>
      <c r="V27" s="234">
        <f>ROUND(VLOOKUP(MID($E27,4,3),'Wochentag F(WT)'!$B$7:$J$22,V$9,0),4)</f>
        <v>1</v>
      </c>
      <c r="W27" s="234">
        <f>ROUND(VLOOKUP(MID($E27,4,3),'Wochentag F(WT)'!$B$7:$J$22,W$9,0),4)</f>
        <v>1</v>
      </c>
      <c r="X27" s="235">
        <f t="shared" ref="X27:X31" si="8">7-SUM(R27:W27)</f>
        <v>1</v>
      </c>
      <c r="Y27" s="248"/>
    </row>
    <row r="28" spans="2:26" s="118" customFormat="1">
      <c r="B28" s="119">
        <v>17</v>
      </c>
      <c r="C28" s="120" t="str">
        <f t="shared" si="0"/>
        <v>Ahrtal-Werke GmbH</v>
      </c>
      <c r="D28" s="46" t="s">
        <v>247</v>
      </c>
      <c r="E28" s="139" t="s">
        <v>667</v>
      </c>
      <c r="F28" s="252" t="str">
        <f>VLOOKUP($E28,'BDEW-Standard'!$B$3:$M$158,F$9,0)</f>
        <v>PD4</v>
      </c>
      <c r="H28" s="231">
        <f>ROUND(VLOOKUP($E28,'BDEW-Standard'!$B$3:$M$158,H$9,0),7)</f>
        <v>3.85</v>
      </c>
      <c r="I28" s="231">
        <f>ROUND(VLOOKUP($E28,'BDEW-Standard'!$B$3:$M$158,I$9,0),7)</f>
        <v>-37</v>
      </c>
      <c r="J28" s="231">
        <f>ROUND(VLOOKUP($E28,'BDEW-Standard'!$B$3:$M$158,J$9,0),7)</f>
        <v>10.2405021</v>
      </c>
      <c r="K28" s="231">
        <f>ROUND(VLOOKUP($E28,'BDEW-Standard'!$B$3:$M$158,K$9,0),7)</f>
        <v>4.6924300000000002E-2</v>
      </c>
      <c r="L28" s="232">
        <f>ROUND(VLOOKUP($E28,'BDEW-Standard'!$B$3:$M$158,L$9,0),1)</f>
        <v>40</v>
      </c>
      <c r="M28" s="231">
        <f>ROUND(VLOOKUP($E28,'BDEW-Standard'!$B$3:$M$158,M$9,0),7)</f>
        <v>0</v>
      </c>
      <c r="N28" s="231">
        <f>ROUND(VLOOKUP($E28,'BDEW-Standard'!$B$3:$M$158,N$9,0),7)</f>
        <v>0</v>
      </c>
      <c r="O28" s="231">
        <f>ROUND(VLOOKUP($E28,'BDEW-Standard'!$B$3:$M$158,O$9,0),7)</f>
        <v>0</v>
      </c>
      <c r="P28" s="231">
        <f>ROUND(VLOOKUP($E28,'BDEW-Standard'!$B$3:$M$158,P$9,0),7)</f>
        <v>0</v>
      </c>
      <c r="Q28" s="233">
        <f t="shared" si="1"/>
        <v>0.75691065279879233</v>
      </c>
      <c r="R28" s="234">
        <f>ROUND(VLOOKUP(MID($E28,4,3),'Wochentag F(WT)'!$B$7:$J$22,R$9,0),4)</f>
        <v>1.0214000000000001</v>
      </c>
      <c r="S28" s="234">
        <f>ROUND(VLOOKUP(MID($E28,4,3),'Wochentag F(WT)'!$B$7:$J$22,S$9,0),4)</f>
        <v>1.0866</v>
      </c>
      <c r="T28" s="234">
        <f>ROUND(VLOOKUP(MID($E28,4,3),'Wochentag F(WT)'!$B$7:$J$22,T$9,0),4)</f>
        <v>1.0720000000000001</v>
      </c>
      <c r="U28" s="234">
        <f>ROUND(VLOOKUP(MID($E28,4,3),'Wochentag F(WT)'!$B$7:$J$22,U$9,0),4)</f>
        <v>1.0557000000000001</v>
      </c>
      <c r="V28" s="234">
        <f>ROUND(VLOOKUP(MID($E28,4,3),'Wochentag F(WT)'!$B$7:$J$22,V$9,0),4)</f>
        <v>1.0117</v>
      </c>
      <c r="W28" s="234">
        <f>ROUND(VLOOKUP(MID($E28,4,3),'Wochentag F(WT)'!$B$7:$J$22,W$9,0),4)</f>
        <v>0.90010000000000001</v>
      </c>
      <c r="X28" s="235">
        <f t="shared" si="8"/>
        <v>0.85249999999999915</v>
      </c>
      <c r="Y28" s="248"/>
    </row>
    <row r="29" spans="2:26" s="118" customFormat="1">
      <c r="B29" s="119">
        <v>18</v>
      </c>
      <c r="C29" s="120" t="str">
        <f t="shared" si="0"/>
        <v>Ahrtal-Werke GmbH</v>
      </c>
      <c r="D29" s="46" t="s">
        <v>247</v>
      </c>
      <c r="E29" s="139" t="s">
        <v>668</v>
      </c>
      <c r="F29" s="252" t="str">
        <f>VLOOKUP($E29,'BDEW-Standard'!$B$3:$M$158,F$9,0)</f>
        <v>BD3</v>
      </c>
      <c r="H29" s="231">
        <f>ROUND(VLOOKUP($E29,'BDEW-Standard'!$B$3:$M$158,H$9,0),7)</f>
        <v>2.9177027</v>
      </c>
      <c r="I29" s="231">
        <f>ROUND(VLOOKUP($E29,'BDEW-Standard'!$B$3:$M$158,I$9,0),7)</f>
        <v>-36.179411700000003</v>
      </c>
      <c r="J29" s="231">
        <f>ROUND(VLOOKUP($E29,'BDEW-Standard'!$B$3:$M$158,J$9,0),7)</f>
        <v>5.9265162</v>
      </c>
      <c r="K29" s="231">
        <f>ROUND(VLOOKUP($E29,'BDEW-Standard'!$B$3:$M$158,K$9,0),7)</f>
        <v>0.11519119999999999</v>
      </c>
      <c r="L29" s="232">
        <f>ROUND(VLOOKUP($E29,'BDEW-Standard'!$B$3:$M$158,L$9,0),1)</f>
        <v>40</v>
      </c>
      <c r="M29" s="231">
        <f>ROUND(VLOOKUP($E29,'BDEW-Standard'!$B$3:$M$158,M$9,0),7)</f>
        <v>0</v>
      </c>
      <c r="N29" s="231">
        <f>ROUND(VLOOKUP($E29,'BDEW-Standard'!$B$3:$M$158,N$9,0),7)</f>
        <v>0</v>
      </c>
      <c r="O29" s="231">
        <f>ROUND(VLOOKUP($E29,'BDEW-Standard'!$B$3:$M$158,O$9,0),7)</f>
        <v>0</v>
      </c>
      <c r="P29" s="231">
        <f>ROUND(VLOOKUP($E29,'BDEW-Standard'!$B$3:$M$158,P$9,0),7)</f>
        <v>0</v>
      </c>
      <c r="Q29" s="233">
        <f t="shared" si="1"/>
        <v>1.0656106174494469</v>
      </c>
      <c r="R29" s="234">
        <f>ROUND(VLOOKUP(MID($E29,4,3),'Wochentag F(WT)'!$B$7:$J$22,R$9,0),4)</f>
        <v>1.1052</v>
      </c>
      <c r="S29" s="234">
        <f>ROUND(VLOOKUP(MID($E29,4,3),'Wochentag F(WT)'!$B$7:$J$22,S$9,0),4)</f>
        <v>1.0857000000000001</v>
      </c>
      <c r="T29" s="234">
        <f>ROUND(VLOOKUP(MID($E29,4,3),'Wochentag F(WT)'!$B$7:$J$22,T$9,0),4)</f>
        <v>1.0378000000000001</v>
      </c>
      <c r="U29" s="234">
        <f>ROUND(VLOOKUP(MID($E29,4,3),'Wochentag F(WT)'!$B$7:$J$22,U$9,0),4)</f>
        <v>1.0622</v>
      </c>
      <c r="V29" s="234">
        <f>ROUND(VLOOKUP(MID($E29,4,3),'Wochentag F(WT)'!$B$7:$J$22,V$9,0),4)</f>
        <v>1.0266</v>
      </c>
      <c r="W29" s="234">
        <f>ROUND(VLOOKUP(MID($E29,4,3),'Wochentag F(WT)'!$B$7:$J$22,W$9,0),4)</f>
        <v>0.76290000000000002</v>
      </c>
      <c r="X29" s="235">
        <f t="shared" si="8"/>
        <v>0.91959999999999997</v>
      </c>
      <c r="Y29" s="248"/>
    </row>
    <row r="30" spans="2:26" s="118" customFormat="1">
      <c r="B30" s="119">
        <v>19</v>
      </c>
      <c r="C30" s="120" t="str">
        <f t="shared" si="0"/>
        <v>Ahrtal-Werke GmbH</v>
      </c>
      <c r="D30" s="46" t="s">
        <v>247</v>
      </c>
      <c r="E30" s="139" t="s">
        <v>669</v>
      </c>
      <c r="F30" s="252" t="str">
        <f>VLOOKUP($E30,'BDEW-Standard'!$B$3:$M$158,F$9,0)</f>
        <v>BD4</v>
      </c>
      <c r="H30" s="231">
        <f>ROUND(VLOOKUP($E30,'BDEW-Standard'!$B$3:$M$158,H$9,0),7)</f>
        <v>3.75</v>
      </c>
      <c r="I30" s="231">
        <f>ROUND(VLOOKUP($E30,'BDEW-Standard'!$B$3:$M$158,I$9,0),7)</f>
        <v>-37.5</v>
      </c>
      <c r="J30" s="231">
        <f>ROUND(VLOOKUP($E30,'BDEW-Standard'!$B$3:$M$158,J$9,0),7)</f>
        <v>6.8</v>
      </c>
      <c r="K30" s="231">
        <f>ROUND(VLOOKUP($E30,'BDEW-Standard'!$B$3:$M$158,K$9,0),7)</f>
        <v>6.0911300000000002E-2</v>
      </c>
      <c r="L30" s="232">
        <f>ROUND(VLOOKUP($E30,'BDEW-Standard'!$B$3:$M$158,L$9,0),1)</f>
        <v>40</v>
      </c>
      <c r="M30" s="231">
        <f>ROUND(VLOOKUP($E30,'BDEW-Standard'!$B$3:$M$158,M$9,0),7)</f>
        <v>0</v>
      </c>
      <c r="N30" s="231">
        <f>ROUND(VLOOKUP($E30,'BDEW-Standard'!$B$3:$M$158,N$9,0),7)</f>
        <v>0</v>
      </c>
      <c r="O30" s="231">
        <f>ROUND(VLOOKUP($E30,'BDEW-Standard'!$B$3:$M$158,O$9,0),7)</f>
        <v>0</v>
      </c>
      <c r="P30" s="231">
        <f>ROUND(VLOOKUP($E30,'BDEW-Standard'!$B$3:$M$158,P$9,0),7)</f>
        <v>0</v>
      </c>
      <c r="Q30" s="233">
        <f t="shared" si="1"/>
        <v>1.0126136468627658</v>
      </c>
      <c r="R30" s="234">
        <f>ROUND(VLOOKUP(MID($E30,4,3),'Wochentag F(WT)'!$B$7:$J$22,R$9,0),4)</f>
        <v>1.1052</v>
      </c>
      <c r="S30" s="234">
        <f>ROUND(VLOOKUP(MID($E30,4,3),'Wochentag F(WT)'!$B$7:$J$22,S$9,0),4)</f>
        <v>1.0857000000000001</v>
      </c>
      <c r="T30" s="234">
        <f>ROUND(VLOOKUP(MID($E30,4,3),'Wochentag F(WT)'!$B$7:$J$22,T$9,0),4)</f>
        <v>1.0378000000000001</v>
      </c>
      <c r="U30" s="234">
        <f>ROUND(VLOOKUP(MID($E30,4,3),'Wochentag F(WT)'!$B$7:$J$22,U$9,0),4)</f>
        <v>1.0622</v>
      </c>
      <c r="V30" s="234">
        <f>ROUND(VLOOKUP(MID($E30,4,3),'Wochentag F(WT)'!$B$7:$J$22,V$9,0),4)</f>
        <v>1.0266</v>
      </c>
      <c r="W30" s="234">
        <f>ROUND(VLOOKUP(MID($E30,4,3),'Wochentag F(WT)'!$B$7:$J$22,W$9,0),4)</f>
        <v>0.76290000000000002</v>
      </c>
      <c r="X30" s="235">
        <f t="shared" si="8"/>
        <v>0.91959999999999997</v>
      </c>
      <c r="Y30" s="248"/>
    </row>
    <row r="31" spans="2:26" s="118" customFormat="1">
      <c r="B31" s="119">
        <v>20</v>
      </c>
      <c r="C31" s="120" t="str">
        <f t="shared" si="0"/>
        <v>Ahrtal-Werke GmbH</v>
      </c>
      <c r="D31" s="46" t="s">
        <v>247</v>
      </c>
      <c r="E31" s="139" t="s">
        <v>670</v>
      </c>
      <c r="F31" s="252" t="str">
        <f>VLOOKUP($E31,'BDEW-Standard'!$B$3:$M$158,F$9,0)</f>
        <v>WA4</v>
      </c>
      <c r="H31" s="231">
        <f>ROUND(VLOOKUP($E31,'BDEW-Standard'!$B$3:$M$158,H$9,0),7)</f>
        <v>1.0535874999999999</v>
      </c>
      <c r="I31" s="231">
        <f>ROUND(VLOOKUP($E31,'BDEW-Standard'!$B$3:$M$158,I$9,0),7)</f>
        <v>-35.299999999999997</v>
      </c>
      <c r="J31" s="231">
        <f>ROUND(VLOOKUP($E31,'BDEW-Standard'!$B$3:$M$158,J$9,0),7)</f>
        <v>4.8662747</v>
      </c>
      <c r="K31" s="231">
        <f>ROUND(VLOOKUP($E31,'BDEW-Standard'!$B$3:$M$158,K$9,0),7)</f>
        <v>0.68110420000000005</v>
      </c>
      <c r="L31" s="232">
        <f>ROUND(VLOOKUP($E31,'BDEW-Standard'!$B$3:$M$158,L$9,0),1)</f>
        <v>40</v>
      </c>
      <c r="M31" s="231">
        <f>ROUND(VLOOKUP($E31,'BDEW-Standard'!$B$3:$M$158,M$9,0),7)</f>
        <v>0</v>
      </c>
      <c r="N31" s="231">
        <f>ROUND(VLOOKUP($E31,'BDEW-Standard'!$B$3:$M$158,N$9,0),7)</f>
        <v>0</v>
      </c>
      <c r="O31" s="231">
        <f>ROUND(VLOOKUP($E31,'BDEW-Standard'!$B$3:$M$158,O$9,0),7)</f>
        <v>0</v>
      </c>
      <c r="P31" s="231">
        <f>ROUND(VLOOKUP($E31,'BDEW-Standard'!$B$3:$M$158,P$9,0),7)</f>
        <v>0</v>
      </c>
      <c r="Q31" s="233">
        <f t="shared" si="1"/>
        <v>1.0844348950990992</v>
      </c>
      <c r="R31" s="234">
        <f>ROUND(VLOOKUP(MID($E31,4,3),'Wochentag F(WT)'!$B$7:$J$22,R$9,0),4)</f>
        <v>1.2457</v>
      </c>
      <c r="S31" s="234">
        <f>ROUND(VLOOKUP(MID($E31,4,3),'Wochentag F(WT)'!$B$7:$J$22,S$9,0),4)</f>
        <v>1.2615000000000001</v>
      </c>
      <c r="T31" s="234">
        <f>ROUND(VLOOKUP(MID($E31,4,3),'Wochentag F(WT)'!$B$7:$J$22,T$9,0),4)</f>
        <v>1.2706999999999999</v>
      </c>
      <c r="U31" s="234">
        <f>ROUND(VLOOKUP(MID($E31,4,3),'Wochentag F(WT)'!$B$7:$J$22,U$9,0),4)</f>
        <v>1.2430000000000001</v>
      </c>
      <c r="V31" s="234">
        <f>ROUND(VLOOKUP(MID($E31,4,3),'Wochentag F(WT)'!$B$7:$J$22,V$9,0),4)</f>
        <v>1.1275999999999999</v>
      </c>
      <c r="W31" s="234">
        <f>ROUND(VLOOKUP(MID($E31,4,3),'Wochentag F(WT)'!$B$7:$J$22,W$9,0),4)</f>
        <v>0.38769999999999999</v>
      </c>
      <c r="X31" s="235">
        <f t="shared" si="8"/>
        <v>0.46379999999999999</v>
      </c>
      <c r="Y31" s="248"/>
    </row>
    <row r="32" spans="2:26" s="118" customFormat="1">
      <c r="B32" s="119">
        <v>21</v>
      </c>
      <c r="C32" s="120" t="str">
        <f t="shared" si="0"/>
        <v>Ahrtal-Werke GmbH</v>
      </c>
      <c r="D32" s="46"/>
      <c r="E32" s="139"/>
      <c r="F32" s="252"/>
      <c r="H32" s="231"/>
      <c r="I32" s="231"/>
      <c r="J32" s="231"/>
      <c r="K32" s="231"/>
      <c r="L32" s="232"/>
      <c r="M32" s="231"/>
      <c r="N32" s="231"/>
      <c r="O32" s="231"/>
      <c r="P32" s="231"/>
      <c r="Q32" s="233"/>
      <c r="R32" s="234"/>
      <c r="S32" s="234"/>
      <c r="T32" s="234"/>
      <c r="U32" s="234"/>
      <c r="V32" s="234"/>
      <c r="W32" s="234"/>
      <c r="X32" s="235"/>
      <c r="Y32" s="248"/>
    </row>
    <row r="33" spans="2:25" s="118" customFormat="1">
      <c r="B33" s="119">
        <v>22</v>
      </c>
      <c r="C33" s="120" t="str">
        <f t="shared" si="0"/>
        <v>Ahrtal-Werke GmbH</v>
      </c>
      <c r="D33" s="46"/>
      <c r="E33" s="139"/>
      <c r="F33" s="252"/>
      <c r="H33" s="231"/>
      <c r="I33" s="231"/>
      <c r="J33" s="231"/>
      <c r="K33" s="231"/>
      <c r="L33" s="232"/>
      <c r="M33" s="231"/>
      <c r="N33" s="231"/>
      <c r="O33" s="231"/>
      <c r="P33" s="231"/>
      <c r="Q33" s="233"/>
      <c r="R33" s="234"/>
      <c r="S33" s="234"/>
      <c r="T33" s="234"/>
      <c r="U33" s="234"/>
      <c r="V33" s="234"/>
      <c r="W33" s="234"/>
      <c r="X33" s="235"/>
      <c r="Y33" s="248"/>
    </row>
    <row r="34" spans="2:25" s="118" customFormat="1">
      <c r="B34" s="119">
        <v>23</v>
      </c>
      <c r="C34" s="120" t="str">
        <f t="shared" si="0"/>
        <v>Ahrtal-Werke GmbH</v>
      </c>
      <c r="D34" s="46"/>
      <c r="E34" s="139"/>
      <c r="F34" s="252"/>
      <c r="H34" s="231"/>
      <c r="I34" s="231"/>
      <c r="J34" s="231"/>
      <c r="K34" s="231"/>
      <c r="L34" s="232"/>
      <c r="M34" s="231"/>
      <c r="N34" s="231"/>
      <c r="O34" s="231"/>
      <c r="P34" s="231"/>
      <c r="Q34" s="233"/>
      <c r="R34" s="234"/>
      <c r="S34" s="234"/>
      <c r="T34" s="234"/>
      <c r="U34" s="234"/>
      <c r="V34" s="234"/>
      <c r="W34" s="234"/>
      <c r="X34" s="235"/>
      <c r="Y34" s="248"/>
    </row>
    <row r="35" spans="2:25" s="118" customFormat="1">
      <c r="B35" s="119">
        <v>24</v>
      </c>
      <c r="C35" s="120" t="str">
        <f t="shared" si="0"/>
        <v>Ahrtal-Werke GmbH</v>
      </c>
      <c r="D35" s="46"/>
      <c r="E35" s="139"/>
      <c r="F35" s="252"/>
      <c r="H35" s="231"/>
      <c r="I35" s="231"/>
      <c r="J35" s="231"/>
      <c r="K35" s="231"/>
      <c r="L35" s="232"/>
      <c r="M35" s="231"/>
      <c r="N35" s="231"/>
      <c r="O35" s="231"/>
      <c r="P35" s="231"/>
      <c r="Q35" s="233"/>
      <c r="R35" s="234"/>
      <c r="S35" s="234"/>
      <c r="T35" s="234"/>
      <c r="U35" s="234"/>
      <c r="V35" s="234"/>
      <c r="W35" s="234"/>
      <c r="X35" s="235"/>
      <c r="Y35" s="248"/>
    </row>
    <row r="36" spans="2:25" s="118" customFormat="1">
      <c r="B36" s="119">
        <v>25</v>
      </c>
      <c r="C36" s="120" t="str">
        <f t="shared" si="0"/>
        <v>Ahrtal-Werke GmbH</v>
      </c>
      <c r="D36" s="46"/>
      <c r="E36" s="139"/>
      <c r="F36" s="252"/>
      <c r="H36" s="231"/>
      <c r="I36" s="231"/>
      <c r="J36" s="231"/>
      <c r="K36" s="231"/>
      <c r="L36" s="232"/>
      <c r="M36" s="231"/>
      <c r="N36" s="231"/>
      <c r="O36" s="231"/>
      <c r="P36" s="231"/>
      <c r="Q36" s="233"/>
      <c r="R36" s="234"/>
      <c r="S36" s="234"/>
      <c r="T36" s="234"/>
      <c r="U36" s="234"/>
      <c r="V36" s="234"/>
      <c r="W36" s="234"/>
      <c r="X36" s="235"/>
      <c r="Y36" s="248"/>
    </row>
    <row r="37" spans="2:25" s="118" customFormat="1">
      <c r="B37" s="119">
        <v>26</v>
      </c>
      <c r="C37" s="120" t="str">
        <f t="shared" si="0"/>
        <v>Ahrtal-Werke GmbH</v>
      </c>
      <c r="D37" s="46"/>
      <c r="E37" s="139"/>
      <c r="F37" s="252"/>
      <c r="H37" s="231"/>
      <c r="I37" s="231"/>
      <c r="J37" s="231"/>
      <c r="K37" s="231"/>
      <c r="L37" s="232"/>
      <c r="M37" s="231"/>
      <c r="N37" s="231"/>
      <c r="O37" s="231"/>
      <c r="P37" s="231"/>
      <c r="Q37" s="233"/>
      <c r="R37" s="234"/>
      <c r="S37" s="234"/>
      <c r="T37" s="234"/>
      <c r="U37" s="234"/>
      <c r="V37" s="234"/>
      <c r="W37" s="234"/>
      <c r="X37" s="235"/>
      <c r="Y37" s="248"/>
    </row>
    <row r="38" spans="2:25" s="118" customFormat="1">
      <c r="B38" s="119">
        <v>27</v>
      </c>
      <c r="C38" s="120" t="str">
        <f t="shared" si="0"/>
        <v>Ahrtal-Werke GmbH</v>
      </c>
      <c r="D38" s="46"/>
      <c r="E38" s="139"/>
      <c r="F38" s="252"/>
      <c r="H38" s="231"/>
      <c r="I38" s="231"/>
      <c r="J38" s="231"/>
      <c r="K38" s="231"/>
      <c r="L38" s="232"/>
      <c r="M38" s="231"/>
      <c r="N38" s="231"/>
      <c r="O38" s="231"/>
      <c r="P38" s="231"/>
      <c r="Q38" s="233"/>
      <c r="R38" s="234"/>
      <c r="S38" s="234"/>
      <c r="T38" s="234"/>
      <c r="U38" s="234"/>
      <c r="V38" s="234"/>
      <c r="W38" s="234"/>
      <c r="X38" s="235"/>
      <c r="Y38" s="248"/>
    </row>
    <row r="39" spans="2:25" s="118" customFormat="1">
      <c r="B39" s="119">
        <v>28</v>
      </c>
      <c r="C39" s="120" t="str">
        <f t="shared" si="0"/>
        <v>Ahrtal-Werke GmbH</v>
      </c>
      <c r="D39" s="46"/>
      <c r="E39" s="139"/>
      <c r="F39" s="252"/>
      <c r="H39" s="231"/>
      <c r="I39" s="231"/>
      <c r="J39" s="231"/>
      <c r="K39" s="231"/>
      <c r="L39" s="232"/>
      <c r="M39" s="231"/>
      <c r="N39" s="231"/>
      <c r="O39" s="231"/>
      <c r="P39" s="231"/>
      <c r="Q39" s="233"/>
      <c r="R39" s="234"/>
      <c r="S39" s="234"/>
      <c r="T39" s="234"/>
      <c r="U39" s="234"/>
      <c r="V39" s="234"/>
      <c r="W39" s="234"/>
      <c r="X39" s="235"/>
      <c r="Y39" s="248"/>
    </row>
    <row r="40" spans="2:25" s="118" customFormat="1">
      <c r="B40" s="119">
        <v>29</v>
      </c>
      <c r="C40" s="120" t="str">
        <f t="shared" si="0"/>
        <v>Ahrtal-Werke GmbH</v>
      </c>
      <c r="D40" s="46"/>
      <c r="E40" s="139"/>
      <c r="F40" s="252"/>
      <c r="H40" s="231"/>
      <c r="I40" s="231"/>
      <c r="J40" s="231"/>
      <c r="K40" s="231"/>
      <c r="L40" s="232"/>
      <c r="M40" s="231"/>
      <c r="N40" s="231"/>
      <c r="O40" s="231"/>
      <c r="P40" s="231"/>
      <c r="Q40" s="233"/>
      <c r="R40" s="234"/>
      <c r="S40" s="234"/>
      <c r="T40" s="234"/>
      <c r="U40" s="234"/>
      <c r="V40" s="234"/>
      <c r="W40" s="234"/>
      <c r="X40" s="235"/>
      <c r="Y40" s="248"/>
    </row>
    <row r="41" spans="2:25" s="118" customFormat="1">
      <c r="B41" s="119">
        <v>30</v>
      </c>
      <c r="C41" s="120" t="str">
        <f t="shared" si="0"/>
        <v>Ahrtal-Werke GmbH</v>
      </c>
      <c r="D41" s="46"/>
      <c r="E41" s="139"/>
      <c r="F41" s="252"/>
      <c r="H41" s="231"/>
      <c r="I41" s="231"/>
      <c r="J41" s="231"/>
      <c r="K41" s="231"/>
      <c r="L41" s="232"/>
      <c r="M41" s="231"/>
      <c r="N41" s="231"/>
      <c r="O41" s="231"/>
      <c r="P41" s="231"/>
      <c r="Q41" s="233"/>
      <c r="R41" s="234"/>
      <c r="S41" s="234"/>
      <c r="T41" s="234"/>
      <c r="U41" s="234"/>
      <c r="V41" s="234"/>
      <c r="W41" s="234"/>
      <c r="X41" s="235"/>
      <c r="Y41" s="24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31">
    <cfRule type="duplicateValues" dxfId="10" priority="1"/>
  </conditionalFormatting>
  <conditionalFormatting sqref="H11:Y41 F11:F41">
    <cfRule type="expression" dxfId="9" priority="10">
      <formula>ISERROR(F11)</formula>
    </cfRule>
  </conditionalFormatting>
  <conditionalFormatting sqref="Y12:Y41 E32:F41 F12:F31">
    <cfRule type="duplicateValues" dxfId="6" priority="32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 E32:E41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E32:E41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6">
        <v>42173</v>
      </c>
      <c r="D1" s="8" t="s">
        <v>450</v>
      </c>
      <c r="F1" s="177" t="s">
        <v>543</v>
      </c>
      <c r="N1" s="11"/>
    </row>
    <row r="2" spans="1:14" ht="25.5">
      <c r="A2" s="178" t="s">
        <v>267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B18" sqref="B18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442</v>
      </c>
    </row>
    <row r="3" spans="2:30" ht="15" customHeight="1">
      <c r="B3" s="66"/>
    </row>
    <row r="4" spans="2:30" ht="15" customHeight="1">
      <c r="B4" s="48" t="s">
        <v>441</v>
      </c>
      <c r="C4" s="44" t="str">
        <f>Netzbetreiber!$D$9</f>
        <v>Ahrtal-Werke GmbH</v>
      </c>
      <c r="D4" s="58"/>
      <c r="G4" s="58"/>
      <c r="I4" s="58"/>
      <c r="J4" s="59"/>
      <c r="M4" s="67" t="s">
        <v>537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440</v>
      </c>
      <c r="C5" s="45" t="str">
        <f>Netzbetreiber!D28</f>
        <v>Ahrtal-Werke GmbH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438</v>
      </c>
      <c r="C6" s="44">
        <f>Netzbetreiber!$D$11</f>
        <v>9870134500007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132</v>
      </c>
      <c r="C7" s="43">
        <f>Netzbetreiber!$D$6</f>
        <v>45658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9" t="s">
        <v>454</v>
      </c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1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>
      <c r="B10" s="294" t="s">
        <v>581</v>
      </c>
      <c r="C10" s="295"/>
      <c r="D10" s="73">
        <v>2</v>
      </c>
      <c r="E10" s="74" t="str">
        <f>IF(ISERROR(HLOOKUP(E$11,$M$9:$AD$35,$D10,0)),"",HLOOKUP(E$11,$M$9:$AD$35,$D10,0))</f>
        <v/>
      </c>
      <c r="F10" s="292" t="s">
        <v>394</v>
      </c>
      <c r="G10" s="292"/>
      <c r="H10" s="292"/>
      <c r="I10" s="292"/>
      <c r="J10" s="292"/>
      <c r="K10" s="292"/>
      <c r="L10" s="293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395</v>
      </c>
      <c r="C12" s="89"/>
      <c r="D12" s="90">
        <v>4</v>
      </c>
      <c r="E12" s="258">
        <f>MIN(SUMPRODUCT($M$11:$AD$11,M12:AD12),1)</f>
        <v>1</v>
      </c>
      <c r="F12" s="255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396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397</v>
      </c>
      <c r="C14" s="96"/>
      <c r="D14" s="90">
        <v>6</v>
      </c>
      <c r="E14" s="259">
        <f t="shared" si="0"/>
        <v>0</v>
      </c>
      <c r="F14" s="256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399</v>
      </c>
      <c r="C15" s="96"/>
      <c r="D15" s="90">
        <v>7</v>
      </c>
      <c r="E15" s="259">
        <f t="shared" si="0"/>
        <v>0</v>
      </c>
      <c r="F15" s="256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411</v>
      </c>
      <c r="C16" s="96"/>
      <c r="D16" s="90">
        <v>8</v>
      </c>
      <c r="E16" s="259">
        <f t="shared" si="0"/>
        <v>1</v>
      </c>
      <c r="F16" s="256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412</v>
      </c>
      <c r="C17" s="96"/>
      <c r="D17" s="90">
        <v>9</v>
      </c>
      <c r="E17" s="259">
        <f t="shared" si="0"/>
        <v>1</v>
      </c>
      <c r="F17" s="256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413</v>
      </c>
      <c r="C18" s="96"/>
      <c r="D18" s="90">
        <v>10</v>
      </c>
      <c r="E18" s="259">
        <f t="shared" si="0"/>
        <v>1</v>
      </c>
      <c r="F18" s="256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649</v>
      </c>
      <c r="C19" s="96"/>
      <c r="D19" s="90"/>
      <c r="E19" s="259">
        <v>1</v>
      </c>
      <c r="F19" s="256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400</v>
      </c>
      <c r="C20" s="96"/>
      <c r="D20" s="90">
        <v>11</v>
      </c>
      <c r="E20" s="259">
        <f t="shared" si="0"/>
        <v>1</v>
      </c>
      <c r="F20" s="256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647</v>
      </c>
      <c r="C21" s="96"/>
      <c r="D21" s="90">
        <v>12</v>
      </c>
      <c r="E21" s="259">
        <f t="shared" si="0"/>
        <v>1</v>
      </c>
      <c r="F21" s="256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414</v>
      </c>
      <c r="C22" s="96"/>
      <c r="D22" s="90">
        <v>13</v>
      </c>
      <c r="E22" s="259">
        <f t="shared" si="0"/>
        <v>1</v>
      </c>
      <c r="F22" s="256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415</v>
      </c>
      <c r="C23" s="96"/>
      <c r="D23" s="90">
        <v>14</v>
      </c>
      <c r="E23" s="259">
        <f t="shared" si="0"/>
        <v>1</v>
      </c>
      <c r="F23" s="256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416</v>
      </c>
      <c r="C24" s="96"/>
      <c r="D24" s="90">
        <v>15</v>
      </c>
      <c r="E24" s="259">
        <f t="shared" si="0"/>
        <v>0</v>
      </c>
      <c r="F24" s="256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401</v>
      </c>
      <c r="C25" s="96"/>
      <c r="D25" s="90">
        <v>16</v>
      </c>
      <c r="E25" s="259">
        <f t="shared" si="0"/>
        <v>0</v>
      </c>
      <c r="F25" s="256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402</v>
      </c>
      <c r="C26" s="96"/>
      <c r="D26" s="90">
        <v>17</v>
      </c>
      <c r="E26" s="259">
        <f t="shared" si="0"/>
        <v>0</v>
      </c>
      <c r="F26" s="256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648</v>
      </c>
      <c r="C27" s="96"/>
      <c r="D27" s="90"/>
      <c r="E27" s="259">
        <v>1</v>
      </c>
      <c r="F27" s="256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403</v>
      </c>
      <c r="C28" s="96"/>
      <c r="D28" s="90">
        <v>18</v>
      </c>
      <c r="E28" s="259">
        <f t="shared" si="0"/>
        <v>1</v>
      </c>
      <c r="F28" s="256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404</v>
      </c>
      <c r="C29" s="96"/>
      <c r="D29" s="90">
        <v>19</v>
      </c>
      <c r="E29" s="259">
        <v>1</v>
      </c>
      <c r="F29" s="256" t="s">
        <v>391</v>
      </c>
      <c r="G29" s="256" t="s">
        <v>391</v>
      </c>
      <c r="H29" s="256" t="s">
        <v>391</v>
      </c>
      <c r="I29" s="256" t="s">
        <v>391</v>
      </c>
      <c r="J29" s="256" t="s">
        <v>391</v>
      </c>
      <c r="K29" s="256" t="s">
        <v>391</v>
      </c>
      <c r="L29" s="256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405</v>
      </c>
      <c r="C30" s="96"/>
      <c r="D30" s="90">
        <v>20</v>
      </c>
      <c r="E30" s="259">
        <f t="shared" si="0"/>
        <v>0</v>
      </c>
      <c r="F30" s="256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406</v>
      </c>
      <c r="C31" s="96"/>
      <c r="D31" s="90">
        <v>21</v>
      </c>
      <c r="E31" s="259">
        <f t="shared" si="0"/>
        <v>0</v>
      </c>
      <c r="F31" s="256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407</v>
      </c>
      <c r="C32" s="96"/>
      <c r="D32" s="90">
        <v>22</v>
      </c>
      <c r="E32" s="259">
        <f t="shared" si="0"/>
        <v>0</v>
      </c>
      <c r="F32" s="256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408</v>
      </c>
      <c r="C33" s="96"/>
      <c r="D33" s="90">
        <v>23</v>
      </c>
      <c r="E33" s="259">
        <f t="shared" si="0"/>
        <v>1</v>
      </c>
      <c r="F33" s="256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409</v>
      </c>
      <c r="C34" s="96"/>
      <c r="D34" s="90">
        <v>24</v>
      </c>
      <c r="E34" s="259">
        <f t="shared" si="0"/>
        <v>1</v>
      </c>
      <c r="F34" s="256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410</v>
      </c>
      <c r="C35" s="102"/>
      <c r="D35" s="103">
        <v>25</v>
      </c>
      <c r="E35" s="260">
        <f t="shared" si="0"/>
        <v>0</v>
      </c>
      <c r="F35" s="257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451</v>
      </c>
      <c r="B1"/>
      <c r="D1" s="177" t="s">
        <v>543</v>
      </c>
      <c r="O1" s="194"/>
    </row>
    <row r="2" spans="1:16">
      <c r="A2" s="194"/>
      <c r="B2" s="194" t="s">
        <v>452</v>
      </c>
    </row>
    <row r="3" spans="1:16" ht="20.100000000000001" customHeight="1">
      <c r="A3" s="296" t="s">
        <v>248</v>
      </c>
      <c r="B3" s="195" t="s">
        <v>85</v>
      </c>
      <c r="C3" s="196"/>
      <c r="D3" s="298" t="s">
        <v>453</v>
      </c>
      <c r="E3" s="299"/>
      <c r="F3" s="299"/>
      <c r="G3" s="299"/>
      <c r="H3" s="299"/>
      <c r="I3" s="299"/>
      <c r="J3" s="300"/>
      <c r="K3" s="197"/>
      <c r="L3" s="197"/>
      <c r="M3" s="197"/>
      <c r="N3" s="197"/>
      <c r="O3" s="154"/>
      <c r="P3" s="197"/>
    </row>
    <row r="4" spans="1:16" ht="20.100000000000001" customHeight="1">
      <c r="A4" s="297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250</v>
      </c>
      <c r="P5" s="204" t="s">
        <v>249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364</v>
      </c>
      <c r="O8" s="98"/>
      <c r="P8" s="200"/>
    </row>
    <row r="9" spans="1:16" ht="21" customHeight="1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253</v>
      </c>
      <c r="O11" s="98" t="s">
        <v>251</v>
      </c>
      <c r="P11" s="200"/>
    </row>
    <row r="12" spans="1:16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253</v>
      </c>
      <c r="O12" s="98" t="s">
        <v>251</v>
      </c>
      <c r="P12" s="200"/>
    </row>
    <row r="13" spans="1:16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253</v>
      </c>
      <c r="O13" s="98" t="s">
        <v>251</v>
      </c>
      <c r="P13" s="200"/>
    </row>
    <row r="14" spans="1:16" ht="21" customHeight="1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253</v>
      </c>
      <c r="O14" s="98" t="s">
        <v>251</v>
      </c>
      <c r="P14" s="200"/>
    </row>
    <row r="15" spans="1:16" ht="21" customHeight="1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253</v>
      </c>
      <c r="O15" s="98" t="s">
        <v>251</v>
      </c>
      <c r="P15" s="200"/>
    </row>
    <row r="16" spans="1:16" ht="21" customHeight="1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253</v>
      </c>
      <c r="O16" s="98" t="s">
        <v>251</v>
      </c>
      <c r="P16" s="200"/>
    </row>
    <row r="17" spans="1:16" ht="21" customHeight="1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253</v>
      </c>
      <c r="O17" s="98" t="s">
        <v>252</v>
      </c>
      <c r="P17" s="200" t="s">
        <v>116</v>
      </c>
    </row>
    <row r="18" spans="1:16" ht="21" customHeight="1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253</v>
      </c>
      <c r="O18" s="98" t="s">
        <v>252</v>
      </c>
      <c r="P18" s="200" t="s">
        <v>122</v>
      </c>
    </row>
    <row r="19" spans="1:16" ht="21" customHeight="1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253</v>
      </c>
      <c r="O19" s="98" t="s">
        <v>252</v>
      </c>
      <c r="P19" s="200" t="s">
        <v>108</v>
      </c>
    </row>
    <row r="20" spans="1:16" ht="21" customHeight="1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253</v>
      </c>
      <c r="O20" s="98" t="s">
        <v>252</v>
      </c>
      <c r="P20" s="200" t="s">
        <v>110</v>
      </c>
    </row>
    <row r="21" spans="1:16" ht="24.75" customHeight="1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253</v>
      </c>
      <c r="O21" s="98" t="s">
        <v>252</v>
      </c>
      <c r="P21" s="200" t="s">
        <v>116</v>
      </c>
    </row>
    <row r="22" spans="1:16" ht="25.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253</v>
      </c>
      <c r="O22" s="98" t="s">
        <v>252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Barho, Simon</cp:lastModifiedBy>
  <cp:lastPrinted>2015-03-20T22:59:10Z</cp:lastPrinted>
  <dcterms:created xsi:type="dcterms:W3CDTF">2015-01-15T05:25:41Z</dcterms:created>
  <dcterms:modified xsi:type="dcterms:W3CDTF">2024-10-22T07:56:46Z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