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5420" windowHeight="9270" tabRatio="777" activeTab="0"/>
  </bookViews>
  <sheets>
    <sheet name="Cover" sheetId="1" r:id="rId1"/>
    <sheet name="Intro" sheetId="2" r:id="rId2"/>
    <sheet name="Assump" sheetId="3" r:id="rId3"/>
    <sheet name="Input" sheetId="4" r:id="rId4"/>
    <sheet name="Small_HCFs" sheetId="5" r:id="rId5"/>
    <sheet name="Medium_HCFs" sheetId="6" r:id="rId6"/>
    <sheet name="Large_HCFs" sheetId="7" r:id="rId7"/>
    <sheet name="Clusters" sheetId="8" r:id="rId8"/>
    <sheet name="National" sheetId="9" r:id="rId9"/>
    <sheet name="Results" sheetId="10" r:id="rId10"/>
    <sheet name="Summary" sheetId="11" r:id="rId11"/>
  </sheets>
  <externalReferences>
    <externalReference r:id="rId14"/>
  </externalReferences>
  <definedNames>
    <definedName name="annual_cost_air_pollution_control_large_incinerator">'Assump'!$E$65</definedName>
    <definedName name="bed_HCWprod_kgDay">'[1]Tool A'!$E$6</definedName>
    <definedName name="beds_per_large_A_HCF">'Input'!$C$15</definedName>
    <definedName name="beds_per_large_B_HCF">'Input'!$C$17</definedName>
    <definedName name="beds_per_medium_HCF">'Input'!$C$11</definedName>
    <definedName name="budget">'Input'!$C$42</definedName>
    <definedName name="bulk_density_small_HCF">'Small_HCFs'!$F$8</definedName>
    <definedName name="capacity_safety_box">'Assump'!$E$9</definedName>
    <definedName name="cost_125L_autoclave">'Assump'!$E$35</definedName>
    <definedName name="cost_15L_bin">'Assump'!$E$15</definedName>
    <definedName name="Cost_15L_bins">'Assump'!$E$15</definedName>
    <definedName name="cost_15L_plastic_bag">'Assump'!$E$50</definedName>
    <definedName name="cost_2300L_autoclave">'Assump'!$E$41</definedName>
    <definedName name="cost_240L_wheeled_bin">'Assump'!$E$26</definedName>
    <definedName name="cost_24L_autoclave">'Assump'!$E$17</definedName>
    <definedName name="cost_340L_autoclave">'Assump'!$E$38</definedName>
    <definedName name="cost_50L_bin">'Assump'!$E$25</definedName>
    <definedName name="cost_50L_plastic_bag">'Assump'!$E$55</definedName>
    <definedName name="cost_51L_autoclave">'Assump'!$E$28</definedName>
    <definedName name="cost_air_pollution_control_large_incinerator">'Assump'!$E$44</definedName>
    <definedName name="cost_ash_pit">'Assump'!$E$24</definedName>
    <definedName name="cost_fuel_1kg">'Assump'!$E$54</definedName>
    <definedName name="cost_fuel_1Ldiesel">'Assump'!$E$59</definedName>
    <definedName name="cost_incinerator_350kg_per_hr">'Assump'!$E$43</definedName>
    <definedName name="cost_incinerator_50kg_per_hr">'Assump'!$E$37</definedName>
    <definedName name="cost_large_ash_pit">'Assump'!$E$32</definedName>
    <definedName name="cost_large_shredder">'Assump'!$E$42</definedName>
    <definedName name="cost_large_storage_area">'Assump'!$E$34</definedName>
    <definedName name="cost_medium_ash_pit">'Assump'!$E$31</definedName>
    <definedName name="cost_medium_shredder">'Assump'!$E$39</definedName>
    <definedName name="cost_needle_remover">'Assump'!$E$21</definedName>
    <definedName name="cost_per_autoclave_test_indicator">'Assump'!$E$58</definedName>
    <definedName name="cost_PPE">'Assump'!$E$16</definedName>
    <definedName name="cost_reusable_sharps_container">'Assump'!$E$36</definedName>
    <definedName name="cost_safety_box">'Assump'!$E$49</definedName>
    <definedName name="cost_sharps_pit">'Assump'!$E$19</definedName>
    <definedName name="cost_shelter_SSI">'Assump'!$E$23</definedName>
    <definedName name="cost_shelter_treatment_system">'Assump'!$E$29</definedName>
    <definedName name="cost_simple_autoclave_shelter">'Assump'!$E$18</definedName>
    <definedName name="cost_small_ash_pit">'Assump'!$E$24</definedName>
    <definedName name="cost_small_pit">'Assump'!$E$20</definedName>
    <definedName name="cost_SSI">'Assump'!$E$22</definedName>
    <definedName name="cost_SSI_medium_HCF">'Assump'!$E$30</definedName>
    <definedName name="cost_storage_area">'Assump'!$E$27</definedName>
    <definedName name="cost_transport_vehicle">'Assump'!$E$40</definedName>
    <definedName name="cost_very_large_ash_pit">'Assump'!$E$33</definedName>
    <definedName name="Cost_water_sewage">'Small_HCFs'!$F$11</definedName>
    <definedName name="days_per_year_small_HCF">'Small_HCFs'!$F$10</definedName>
    <definedName name="discount_rate">'Assump'!$E$7</definedName>
    <definedName name="fuel_biomass_1kg">#REF!</definedName>
    <definedName name="fuel_diesel_1L">#REF!</definedName>
    <definedName name="gdp">'Input'!$C$43</definedName>
    <definedName name="HCF_small_nb_beds">'[1]Tool A'!$E$11</definedName>
    <definedName name="HCF_small_nb_staff">'[1]Tool A'!$G$11</definedName>
    <definedName name="HCF_small_nb_total">'[1]Tool A'!$E$20</definedName>
    <definedName name="HCRW_box_cardboard_140L">#REF!</definedName>
    <definedName name="HCRW_box_cardboard_50L">#REF!</definedName>
    <definedName name="HCW_bin_plastic_15L">#REF!</definedName>
    <definedName name="HCW_bin_plastic_15L_Lifespan">#REF!</definedName>
    <definedName name="HCW_bin_plastic_50L">#REF!</definedName>
    <definedName name="HCW_bin_plastic_50L_Lifespan">#REF!</definedName>
    <definedName name="HCW_storage_area">#REF!</definedName>
    <definedName name="HCW_storage_area_lifespan">#REF!</definedName>
    <definedName name="HCW_TS_autoclave_250kgh">#REF!</definedName>
    <definedName name="HCW_TS_autoclave_50kgh">#REF!</definedName>
    <definedName name="HCW_TS_autoclave_50kgh_lifespan">#REF!</definedName>
    <definedName name="HCW_TS_autoclave_5kgh">#REF!</definedName>
    <definedName name="HCW_TS_autoclave_5kgh_lifespan">#REF!</definedName>
    <definedName name="HCW_TS_incinerator_250kgh">#REF!</definedName>
    <definedName name="HCW_TS_incinerator_50kgh">#REF!</definedName>
    <definedName name="HCW_TS_incinerator_50kgh_lifespan">#REF!</definedName>
    <definedName name="HCW_TS_incinerator_5kgh">#REF!</definedName>
    <definedName name="HCW_TS_incinerator_5kgh_lifespan">#REF!</definedName>
    <definedName name="HCW_TS_shelter">#REF!</definedName>
    <definedName name="HCW_TS_shelter_lifespan">#REF!</definedName>
    <definedName name="inf_waste_gen_small_HCF">'Input'!#REF!</definedName>
    <definedName name="kWh_per_cycle">'Assump'!$E$51</definedName>
    <definedName name="kWh_per_cycle_24Lautoclave">'Assump'!$E$51</definedName>
    <definedName name="kWh_per_cycle_51Lautoclave">'Assump'!$E$56</definedName>
    <definedName name="kWh_per_liter_large_autoclave">'Assump'!$E$60</definedName>
    <definedName name="kWh_per_liter_medium_shredder">'Assump'!$E$64</definedName>
    <definedName name="kWh_per_run">'Assump'!$E$51</definedName>
    <definedName name="life_125L_autoclave">'Assump'!$H$35</definedName>
    <definedName name="life_15L_bin">'Assump'!$H$15</definedName>
    <definedName name="life_2300L_autoclave">'Assump'!$H$41</definedName>
    <definedName name="life_240L_wheeled_bin">'Assump'!$H$26</definedName>
    <definedName name="life_24L_autoclave">'Assump'!$H$17</definedName>
    <definedName name="life_340L_autoclave">'Assump'!$H$38</definedName>
    <definedName name="life_50L_bin">'Assump'!$H$25</definedName>
    <definedName name="life_51L_autoclave">'Assump'!$H$28</definedName>
    <definedName name="life_air_pollution_control_large_incinerator">'Assump'!$H$44</definedName>
    <definedName name="life_incinerator_350kg_per_hr">'Assump'!$H$43</definedName>
    <definedName name="life_incinerator_50kg_per_hr">'Assump'!$H$37</definedName>
    <definedName name="life_large_ash_pit">'Assump'!$H$32</definedName>
    <definedName name="life_large_shredder">'Assump'!$H$42</definedName>
    <definedName name="life_large_storage_area">'Assump'!$H$34</definedName>
    <definedName name="life_medium_ash_pit">'Assump'!$H$31</definedName>
    <definedName name="life_medium_shredder">'Assump'!$H$39</definedName>
    <definedName name="life_needle_remover">'Assump'!$H$21</definedName>
    <definedName name="life_PPE">'Assump'!$H$16</definedName>
    <definedName name="life_reusable_sharps_container">'Assump'!$H$36</definedName>
    <definedName name="life_sharps_pit">'Assump'!$H$19</definedName>
    <definedName name="life_shelter_SSI">'Assump'!$H$23</definedName>
    <definedName name="life_shelter_treatment_system">'Assump'!$H$29</definedName>
    <definedName name="life_simple_autoclave_shelter">'Assump'!$H$18</definedName>
    <definedName name="life_small_ash_pit">'Assump'!$H$24</definedName>
    <definedName name="life_small_pit">'Assump'!$H$20</definedName>
    <definedName name="life_SSI">'Assump'!$H$22</definedName>
    <definedName name="life_SSI_medium_HCF">'Assump'!$H$30</definedName>
    <definedName name="life_storage_area">'Assump'!$H$27</definedName>
    <definedName name="life_transport_vehicle">'Assump'!$H$40</definedName>
    <definedName name="life_very_large_ash_pit">'Assump'!$H$33</definedName>
    <definedName name="liter_percycle_24L">'Assump'!$E$52</definedName>
    <definedName name="maintenance_annual_costs">#REF!</definedName>
    <definedName name="maintenance_frax_cap_cost">'Assump'!$E$53</definedName>
    <definedName name="needle_remover_electrical">#REF!</definedName>
    <definedName name="needle_remover_lifespan">#REF!</definedName>
    <definedName name="needle_remover_mechanical">#REF!</definedName>
    <definedName name="no_small_HCFs">'Input'!$C$7</definedName>
    <definedName name="number_FTE_HCW_large_cluster">'Clusters'!$Q$43</definedName>
    <definedName name="number_FTE_HCW_medium_cluster">'Clusters'!$G$43</definedName>
    <definedName name="number_large_A_HCFs">'Input'!$C$14</definedName>
    <definedName name="number_large_B_HCFs">'Input'!$C$16</definedName>
    <definedName name="number_large_clusters">'Input'!$C$30</definedName>
    <definedName name="number_large_HCFs_large_cluster">'Input'!$C$34</definedName>
    <definedName name="number_large_HCFs_medium_cluster">'Input'!$C$26</definedName>
    <definedName name="number_medium_clusters">'Input'!$C$22</definedName>
    <definedName name="number_medium_HCFs">'Input'!$C$10</definedName>
    <definedName name="number_medium_HCFs_large_cluster">'Input'!$C$32</definedName>
    <definedName name="number_medium_HCFs_medium_cluster">'Input'!$C$24</definedName>
    <definedName name="number_small_HCFs">'Input'!$C$7</definedName>
    <definedName name="number_small_HCFs_large_cluster">'Input'!$C$31</definedName>
    <definedName name="number_small_HCFs_medium_cluster">'Input'!$C$23</definedName>
    <definedName name="patient_injections">'[1]Tool A'!$E$8</definedName>
    <definedName name="plastic_bag_15L">#REF!</definedName>
    <definedName name="plastic_bag_50L">#REF!</definedName>
    <definedName name="plastic_bag_85L">#REF!</definedName>
    <definedName name="plastic_liner_240L">#REF!</definedName>
    <definedName name="population">'Input'!$C$41</definedName>
    <definedName name="ratio_inf_to_noninf">'Assump'!$E$10</definedName>
    <definedName name="sharp_box_cardboard_5L">#REF!</definedName>
    <definedName name="sharp_box_plastic_10L">#REF!</definedName>
    <definedName name="sharp_box_plastic_5L">#REF!</definedName>
    <definedName name="sharps_waste_gen_small_HCF">'Input'!#REF!</definedName>
    <definedName name="staff_nb_patients">'[1]Tool A'!$E$9</definedName>
    <definedName name="total_beds_large_HCFs_large_cluster">'Input'!$C$35</definedName>
    <definedName name="total_beds_large_HCFs_medium_cluster">'Input'!$C$27</definedName>
    <definedName name="total_beds_medium_HCFs_large_cluster">'Input'!$C$33</definedName>
    <definedName name="total_beds_medium_HCFs_medium_cluster">'Input'!$C$25</definedName>
    <definedName name="total_beds_national">'Input'!$C$40</definedName>
    <definedName name="total_kg_per_day_large_cluster">'Clusters'!$Q$38</definedName>
    <definedName name="total_kg_per_day_medium_cluster">'Clusters'!$G$38</definedName>
    <definedName name="training_staff">#REF!</definedName>
    <definedName name="wages_HCW_coordinator">#REF!</definedName>
    <definedName name="wages_HCW_worker">#REF!</definedName>
    <definedName name="water_use_125L_autoclave">'Assump'!$E$61</definedName>
    <definedName name="water_use_2300L_autoclave">'Assump'!$E$63</definedName>
    <definedName name="water_use_340L_autoclave">'Assump'!$E$62</definedName>
    <definedName name="water_use_51Lautoclave">'Assump'!$E$57</definedName>
    <definedName name="weight_syringe">'Assump'!$E$8</definedName>
    <definedName name="wheelie_bin_240L">#REF!</definedName>
    <definedName name="wheelie_bin_770L">#REF!</definedName>
    <definedName name="wheelie_bin_lifespan">#REF!</definedName>
    <definedName name="year_nb_days">'[1]Tool A'!$E$10</definedName>
  </definedNames>
  <calcPr fullCalcOnLoad="1"/>
</workbook>
</file>

<file path=xl/sharedStrings.xml><?xml version="1.0" encoding="utf-8"?>
<sst xmlns="http://schemas.openxmlformats.org/spreadsheetml/2006/main" count="1684" uniqueCount="468">
  <si>
    <t>The annual costs of HCWM include both capital (or one-time) costs as well as annual operating (or recurrent) costs. Capital costs involve equipment and technologies with different life spans. For the purposes of this tool, the capital cost is converted to an equivalent annual cost using the standard discounting formula which takes into account the equipment life span and a discount or interest rate.</t>
  </si>
  <si>
    <r>
      <t xml:space="preserve">The tool uses a series of assumptions, shown as </t>
    </r>
    <r>
      <rPr>
        <b/>
        <sz val="9"/>
        <color indexed="53"/>
        <rFont val="Arial"/>
        <family val="2"/>
      </rPr>
      <t>bold orange</t>
    </r>
    <r>
      <rPr>
        <sz val="9"/>
        <rFont val="Arial"/>
        <family val="2"/>
      </rPr>
      <t xml:space="preserve"> values, based on the scientific literature or field data. These assumptions are listed in the Assumption section and at the top of each calculation section. They can be changed by the user as country-specific data become available.</t>
    </r>
  </si>
  <si>
    <t>In most LEDCs (Less Economically Developed Countries), resources spent on health care waste management (HCWM) are extremely limited. The activity is rarely included in the public health budget and HCFs are often allocated insufficient or no funds for the safe management and disposal of health care waste (HCW). Allocating insufficient financial resources to manage HCW properly has an even greater financial cost in the medium and long term in terms of morbidity and mortality as well as environmental damage, that will, in the end, impact negatively on peoples’ health.</t>
  </si>
  <si>
    <t>The expanded costing analysis tool (ECAT) is a modified version of the cost analysis tool (CAT) and provides more options and approaches than the CAT. It was created to help the user estimate costs related to health care waste management (HCWM) at the health care facility (HCF), central treatment facility or cluster, and national levels.</t>
  </si>
  <si>
    <t>The ECAT allows one or more treatment approaches: (1) treatment of waste on site at the health care facilities (that is, decentralized or on-site treatment); (2) treatment of waste at central facilities or large hospitals to which waste from a cluster of health care facilities send their waste (that is, centralized or cluster treatment); or (3) a combination of the above. In other words, treatment can take place at small HCFs, medium HCFs, large HCFs (100 to 499 beds, or "Group A" facilities), very large HCFs (500 beds or more, or "Group B" facilities), medium-size clusters (treating between 300 to 1000 kg/day), large clusters (treating more than 1000 kg/day), or any combination of these. The ECAT also allows four treatment technology options for on-site treatment: (1) autoclave and sharps pit; (2) incinerator and lined ash pit; (3) needle remover, autoclave, and small pit; and (4) needle remover, incinerator, and lined ash pit. For centralized or cluster treatment, two options are provided: (1) transport vehicle(s), large autoclave, and shredder; and (2) transport vehicle(s), large incinerator, and ash pit. The ECAT version for low-income countries allows incinerators that do not meet international standards including the guidelines of the Stockholm Convention, except for the largest incinerator for large clusters.</t>
  </si>
  <si>
    <r>
      <t>National policy makers</t>
    </r>
    <r>
      <rPr>
        <sz val="9"/>
        <rFont val="Arial"/>
        <family val="2"/>
      </rPr>
      <t xml:space="preserve"> may find this tool useful to better understand the financial implications of safe and appropriate HCWM.</t>
    </r>
  </si>
  <si>
    <t>Step 8: The results of the ECAT may be used to estimate the financial requirements needed for HCWM at the facility, cluster and national levels.</t>
  </si>
  <si>
    <t xml:space="preserve">Step 1: It is recommended that you start by saving an original copy of this costing tool to preserve the original formulas. Familiarize yourself with each section of the costing tool and the different approaches and options. </t>
  </si>
  <si>
    <t>Small-scale incinerator (5kg/h) non-compliant with international standards</t>
  </si>
  <si>
    <t>Small-scale incinerator (12kg/hr) non-compliant with international standards</t>
  </si>
  <si>
    <t>Medium-size incinerator (50kg/h) non-compliant with international standards</t>
  </si>
  <si>
    <t xml:space="preserve">Large incinerator (350 kg/hr) </t>
  </si>
  <si>
    <t xml:space="preserve">Step 3: Compile data on the numbers of small, medium, large (Group A: 100 to 499 beds) and very large (Group B: 500 beds or more) health-care facilities in the country that are or will operate an on-site treatment system. Compute or estimate the average number of beds under each of these categories (except for small HCFs which are assumed to have no beds). </t>
  </si>
  <si>
    <t>Number of very large Group B HCFs (500 beds or more)</t>
  </si>
  <si>
    <t>Average number of beds per very large Group B HCF</t>
  </si>
  <si>
    <t>Average number of large &amp; very large HCFs in a medium cluster</t>
  </si>
  <si>
    <t>Average total beds of large &amp; very large HCFs in a medium cluster</t>
  </si>
  <si>
    <t>Average number of large &amp; very large HCFs in a large cluster</t>
  </si>
  <si>
    <t>Average total beds of large &amp; very large HCFs in a large cluster</t>
  </si>
  <si>
    <t>kg/day per very large HCF</t>
  </si>
  <si>
    <t>liter/day per very large HCF</t>
  </si>
  <si>
    <t>Total annual capital costs per very large Group B HCF</t>
  </si>
  <si>
    <t>Total annual capital costs for all very large Group B HCFs</t>
  </si>
  <si>
    <t>Total recurrent costs per very large Group B HCF</t>
  </si>
  <si>
    <t>Total recurrent costs for all very large Group B HCFs</t>
  </si>
  <si>
    <t>Total annual costs for all very large Group B HCFs</t>
  </si>
  <si>
    <t>Step 5: If centralized treatment in central facilities or clusters is desired, estimate the number of medium-size clusters (300 to 1000 kg/day) that are or will be established; the average number of small, medium, and large/very large HCFs served by a typical medium-size cluster; and the average number of total beds for medium HCFs and for large/very large HCFs served by a typical medium-sized cluster. The same information should be estimated for any large-size clusters (treating 1000 kg/day or more). It is important to note that the small, medium and large/very large HCFs served by these clusters should NOT be included in the data computed under Step 3.</t>
  </si>
  <si>
    <r>
      <t xml:space="preserve">   1)  </t>
    </r>
    <r>
      <rPr>
        <b/>
        <sz val="9"/>
        <color indexed="52"/>
        <rFont val="Arial"/>
        <family val="0"/>
      </rPr>
      <t>Orange</t>
    </r>
    <r>
      <rPr>
        <sz val="9"/>
        <rFont val="Arial"/>
        <family val="2"/>
      </rPr>
      <t xml:space="preserve"> values: these numbers are assumptions based on the scientific literature or field data. Replace them if you have more precise country-specific data.</t>
    </r>
  </si>
  <si>
    <t xml:space="preserve">   3)  Values in regular black font: these numbers are linked to input values, assumptions and forumulas and should not be modified.</t>
  </si>
  <si>
    <t xml:space="preserve">Step 7: A summary of the results of the calculations can be found in the Results section. All figures are in dollars ($). The grand total annual costs are shown for each option along with a breakdown of capital and recurrent costs. For clusters, a breakdown of costs at the level of the HCFs served by the cluster and at the level of the cluster or central treatment plant is presented. Also computed are the HCWM costs per bed, per kg of waste, and per population, as well as HCWM costs as a percentage of the annual national health-care budget, and the specific costs related to sharps waste management. </t>
  </si>
  <si>
    <t>Centralized Treatment in Clusters or Central Treatment Facilities</t>
  </si>
  <si>
    <t>Summary</t>
  </si>
  <si>
    <t>Provides graphs and tables</t>
  </si>
  <si>
    <t>Results of Calculations</t>
  </si>
  <si>
    <t>Option</t>
  </si>
  <si>
    <t>Description</t>
  </si>
  <si>
    <t>Total Annual Costs ($/yr)</t>
  </si>
  <si>
    <t>Autoclaves and sharps pits for small and medium HCFs; autoclaves, reusable sharps containers and sharps pits for large HCFs; transport vehicle(s), medium to large autoclaves and shredders for clusters</t>
  </si>
  <si>
    <t>Needle removers, autoclaves and small pits for small and medium HCFs; needle removers, autoclaves, reusable sharps containers and small pits for large HCFs; transport vehicle(s), medium to large autoclaves and shredders for clusters</t>
  </si>
  <si>
    <t>Incinerators and lined ash pits for small, medium and large HCFs; transport vehicle(s), medium to large incinerators and lined ash pits for clusters; only the incinerator for large clusters meets international standards</t>
  </si>
  <si>
    <t>Needle removers, incinerators and lined ash pits for small, medium and large HCFs; transport vehicle(s), medium to large incinerators and lined ash pits for clusters; only the incinerator for large clusters meets international standards</t>
  </si>
  <si>
    <t>Indicative values for option 1</t>
  </si>
  <si>
    <t>Indicative values for option 2</t>
  </si>
  <si>
    <t>Indicative values for option 3 (Decentralized) &amp; option 1 (Cluster)</t>
  </si>
  <si>
    <t>Indicative values for option 4 (Decentralized) &amp; option 2 (Cluster)</t>
  </si>
  <si>
    <t>Transport vehicle (5000 liter capacity)</t>
  </si>
  <si>
    <t>Total cluster-level annual capital costs for a large cluster</t>
  </si>
  <si>
    <t>Total annual cluster-level capital costs for all large clusters</t>
  </si>
  <si>
    <t>Water use (2300L autoclave)</t>
  </si>
  <si>
    <t>Total cluster-level recurrent costs for a large cluster</t>
  </si>
  <si>
    <t>Total cluster-level recurrent costs for all large clusters</t>
  </si>
  <si>
    <t>Total facility-level recurrent costs for a large cluster</t>
  </si>
  <si>
    <t>Total facility-level recurrent costs for all large clusters</t>
  </si>
  <si>
    <t>Installation cost</t>
  </si>
  <si>
    <t>Facility construction &amp; installation</t>
  </si>
  <si>
    <t>Incinerator (350 kg/hr)</t>
  </si>
  <si>
    <t>Air pollution control (international std)</t>
  </si>
  <si>
    <t xml:space="preserve">Air pollution control </t>
  </si>
  <si>
    <t>of capital cost</t>
  </si>
  <si>
    <t>Cost of air pollution control</t>
  </si>
  <si>
    <t>Calculations for large health-care facilities (HCF)</t>
  </si>
  <si>
    <t>GROUP A (100-499 beds)</t>
  </si>
  <si>
    <t>GROUP B (500 beds and higher)</t>
  </si>
  <si>
    <t>Calculations for small health-care facilities (HCF)</t>
  </si>
  <si>
    <t>Basic Calculations</t>
  </si>
  <si>
    <t>Calculations for medium health-care facilities (HCF)</t>
  </si>
  <si>
    <t>User Input</t>
  </si>
  <si>
    <t>Default Value</t>
  </si>
  <si>
    <t xml:space="preserve">User Input </t>
  </si>
  <si>
    <t>Average staff per bed for medium &amp; large HCFs</t>
  </si>
  <si>
    <t>Total facility-level recurrent costs for a medium cluster</t>
  </si>
  <si>
    <t>Total facility-level recurrent costs for all medium clusters</t>
  </si>
  <si>
    <t>Calculations: cluster-level annual capital costs for the cluster</t>
  </si>
  <si>
    <t>Calculations: annual cluster-level recurrent costs</t>
  </si>
  <si>
    <t>Number of 8 hour shifts in treatment facility</t>
  </si>
  <si>
    <t>shift/day</t>
  </si>
  <si>
    <t>1 to 3</t>
  </si>
  <si>
    <t>Transport vehicle</t>
  </si>
  <si>
    <t>Facility construction</t>
  </si>
  <si>
    <t>Facility construction cost for medium clusters</t>
  </si>
  <si>
    <t>Total cluster-level annual capital costs for a medium cluster</t>
  </si>
  <si>
    <t>Total annual cluster-level capital costs for all medium clusters</t>
  </si>
  <si>
    <t>workers/shift</t>
  </si>
  <si>
    <t>Number of workers per shift in treatment facility (excluding cleaner)</t>
  </si>
  <si>
    <t>Wages for WMO and facility manager</t>
  </si>
  <si>
    <t>Landfill fees</t>
  </si>
  <si>
    <t>Landfill fees (tipping, hauling, etc.)</t>
  </si>
  <si>
    <t>$/tonne</t>
  </si>
  <si>
    <t>tonnes/yr</t>
  </si>
  <si>
    <t>containers/facility</t>
  </si>
  <si>
    <t>kg/yr</t>
  </si>
  <si>
    <t>Transportation (fuel, oil, etc.)</t>
  </si>
  <si>
    <t>$/day per vehicle</t>
  </si>
  <si>
    <t>Electrical use (125L or 340L autoclave)</t>
  </si>
  <si>
    <t>kWh/liter of waste</t>
  </si>
  <si>
    <t>Electrical use (medium shredder)</t>
  </si>
  <si>
    <t>Training for cluster personnel</t>
  </si>
  <si>
    <t>Training for small HCF or treatment operator</t>
  </si>
  <si>
    <t>Total cluster-level recurrent costs for a medium cluster</t>
  </si>
  <si>
    <t>Total cluster-level recurrent costs for all medium clusters</t>
  </si>
  <si>
    <t>Option 2: Large incinerator and ash pit</t>
  </si>
  <si>
    <t>boxes/yr</t>
  </si>
  <si>
    <t>Staff wages (manager)</t>
  </si>
  <si>
    <t>Ash pit</t>
  </si>
  <si>
    <t>Air pollution control (minimal)</t>
  </si>
  <si>
    <t>LARGE CLUSTER</t>
  </si>
  <si>
    <t>Option 1: Very large autoclave and shredder</t>
  </si>
  <si>
    <t>LARGE CLUSTERS</t>
  </si>
  <si>
    <t>MEDIUM CLUSTERS</t>
  </si>
  <si>
    <t>Number of large clusters in the country</t>
  </si>
  <si>
    <t>Total facility-level annual capital costs for a large cluster</t>
  </si>
  <si>
    <t>Total annual facility-level capital costs for all large clusters</t>
  </si>
  <si>
    <t>2300-liter autoclave</t>
  </si>
  <si>
    <t>Facility construction cost for large clusters</t>
  </si>
  <si>
    <t>Total recurrent costs at national level</t>
  </si>
  <si>
    <t>General</t>
  </si>
  <si>
    <t>Total annual capital costs for all medium HCFs</t>
  </si>
  <si>
    <t>Total annual costs for all small HCFs</t>
  </si>
  <si>
    <t>Total annual costs for all medium HCFs</t>
  </si>
  <si>
    <t>Total annual costs for all large Group A HCFs</t>
  </si>
  <si>
    <t>Total annual costs at national level</t>
  </si>
  <si>
    <t>Number of medium clusters in the country</t>
  </si>
  <si>
    <t>Calculations for treatment clusters or central treatment facilities</t>
  </si>
  <si>
    <t>Days of operation for treatment cluster or facility</t>
  </si>
  <si>
    <t>Wages for HCW worker and cleaner</t>
  </si>
  <si>
    <t>Training for small &amp; medium HCF</t>
  </si>
  <si>
    <t>Infectious waste generation in small HCFs</t>
  </si>
  <si>
    <t>liters/day</t>
  </si>
  <si>
    <t>Sharps waste generation in small HCFs</t>
  </si>
  <si>
    <t>MEDIUM CLUSTER</t>
  </si>
  <si>
    <t>Option 1: Large autoclave and shredder</t>
  </si>
  <si>
    <t>Average 15L bins per small HCF</t>
  </si>
  <si>
    <t>bins/facility</t>
  </si>
  <si>
    <t>Storage area for medium HCFs</t>
  </si>
  <si>
    <t>Storage area for large HCFs</t>
  </si>
  <si>
    <t>Calculations: facility-level annual capital costs for the cluster</t>
  </si>
  <si>
    <t>Total facility-level annual capital costs for a medium cluster</t>
  </si>
  <si>
    <t>Total annual facility-level capital costs for all medium clusters</t>
  </si>
  <si>
    <t>Calculations: annual facility-level recurrent costs</t>
  </si>
  <si>
    <t>Average 15L plastic bags per small HCF</t>
  </si>
  <si>
    <t>bag/day</t>
  </si>
  <si>
    <t>Days of operation for small HCF</t>
  </si>
  <si>
    <t>Days of operation for medium &amp; large HCF</t>
  </si>
  <si>
    <t>Average staff per small HCF</t>
  </si>
  <si>
    <t>staff/facility</t>
  </si>
  <si>
    <t>Training for medium &amp; large HCFs</t>
  </si>
  <si>
    <t>Training for small HCFs</t>
  </si>
  <si>
    <t>GROUP A</t>
  </si>
  <si>
    <t>Number of HCW worker per bed</t>
  </si>
  <si>
    <t>worker/bed</t>
  </si>
  <si>
    <t>Large storage area</t>
  </si>
  <si>
    <t>125-liter autoclave</t>
  </si>
  <si>
    <t>Reusable sharps containers</t>
  </si>
  <si>
    <t>containers/bed</t>
  </si>
  <si>
    <t>kWh</t>
  </si>
  <si>
    <t>Water use (125L autoclave)</t>
  </si>
  <si>
    <t>Staff wages (HCW worker)</t>
  </si>
  <si>
    <t>Wages for WMO</t>
  </si>
  <si>
    <t>Staff wages (Waste mgt officer)</t>
  </si>
  <si>
    <t>quarter-time</t>
  </si>
  <si>
    <t>full-time</t>
  </si>
  <si>
    <t>Total recurrent costs per medium HCF</t>
  </si>
  <si>
    <t>Total recurrent costs for all medium HCFs</t>
  </si>
  <si>
    <t>Total annual capital costs per large Group A HCF</t>
  </si>
  <si>
    <t>Total annual capital costs for all large Group A HCFs</t>
  </si>
  <si>
    <t>Total recurrent costs per large Group A HCF</t>
  </si>
  <si>
    <t>Total recurrent costs for all large Group A HCFs</t>
  </si>
  <si>
    <t>Incinerator (50 kg/hr)</t>
  </si>
  <si>
    <t>Notes</t>
  </si>
  <si>
    <t>Medium ash pit (lined)</t>
  </si>
  <si>
    <t>Large ash pit (lined)</t>
  </si>
  <si>
    <t>GROUP B</t>
  </si>
  <si>
    <t>340-liter autoclave</t>
  </si>
  <si>
    <t>Water use (340L autoclave)</t>
  </si>
  <si>
    <t>4-hr burn/wk</t>
  </si>
  <si>
    <t>Calculations for national level costs</t>
  </si>
  <si>
    <t>Wages for full-time staff</t>
  </si>
  <si>
    <t>$/yr</t>
  </si>
  <si>
    <t>Cost of office &amp; equipment</t>
  </si>
  <si>
    <t>life span (yr)</t>
  </si>
  <si>
    <t>$/set</t>
  </si>
  <si>
    <t>Set of informational materials</t>
  </si>
  <si>
    <t>$/trainer</t>
  </si>
  <si>
    <t>Number of national trainers</t>
  </si>
  <si>
    <t>Transportation for monitoring</t>
  </si>
  <si>
    <t>$/month</t>
  </si>
  <si>
    <t>National meetings, per diem</t>
  </si>
  <si>
    <t>$/year</t>
  </si>
  <si>
    <t>Minimum national full-time staff</t>
  </si>
  <si>
    <t>Additional national full-time staff</t>
  </si>
  <si>
    <t>trainers/total beds</t>
  </si>
  <si>
    <t>added staff/total beds</t>
  </si>
  <si>
    <t>Number of total beds in the country</t>
  </si>
  <si>
    <t>Sets of informational materials for small HCFs</t>
  </si>
  <si>
    <t>Sets of informational materials for medium HCFs</t>
  </si>
  <si>
    <t>Sets of informational materials for large Group A HCFs</t>
  </si>
  <si>
    <t>Sets of informational materials for large Group B HCFs</t>
  </si>
  <si>
    <t>Office and equipment</t>
  </si>
  <si>
    <t>Informational materials</t>
  </si>
  <si>
    <t>Total annual capital costs at national level</t>
  </si>
  <si>
    <t>Wages of national staff</t>
  </si>
  <si>
    <t>Annual "training of trainers"</t>
  </si>
  <si>
    <t>National meetings, per diem, etc.</t>
  </si>
  <si>
    <t>Training of trainers</t>
  </si>
  <si>
    <t>trainers</t>
  </si>
  <si>
    <t>Average number of staff per HCF</t>
  </si>
  <si>
    <t>Total recurrent costs per small HCF</t>
  </si>
  <si>
    <t>Total recurrent costs for all small HCFs</t>
  </si>
  <si>
    <t>Option 2</t>
  </si>
  <si>
    <t>Shelter for small-scale incinerator</t>
  </si>
  <si>
    <t>Fuel usage</t>
  </si>
  <si>
    <t>Fuel use (small-scale incinerator)</t>
  </si>
  <si>
    <t>$/kg wood</t>
  </si>
  <si>
    <t>Lined ash pit</t>
  </si>
  <si>
    <t>burns/wk</t>
  </si>
  <si>
    <t>Burns per week (for Options 2, 4)</t>
  </si>
  <si>
    <t>burn/wk</t>
  </si>
  <si>
    <t>days/wk</t>
  </si>
  <si>
    <t>Option 3</t>
  </si>
  <si>
    <t>Small pit (for needles)</t>
  </si>
  <si>
    <t>Option 4</t>
  </si>
  <si>
    <t>staff/bed</t>
  </si>
  <si>
    <t>Average number of staff/bed</t>
  </si>
  <si>
    <t>Average number of beds per medium HCF</t>
  </si>
  <si>
    <t>Basic calculations</t>
  </si>
  <si>
    <t>Average amount of infectious waste per day per HCF</t>
  </si>
  <si>
    <t>kg/day per medium HCF</t>
  </si>
  <si>
    <t>Average volume of infectious waste per day per HCF</t>
  </si>
  <si>
    <t>liter/day per medium HCF</t>
  </si>
  <si>
    <t>50-liter bins</t>
  </si>
  <si>
    <t>Ratio of infectious to non-infectious waste</t>
  </si>
  <si>
    <t>240-liter wheeled bin</t>
  </si>
  <si>
    <t>Storage area</t>
  </si>
  <si>
    <t>51-liter autoclave</t>
  </si>
  <si>
    <t>24-liter autoclave</t>
  </si>
  <si>
    <t>Shelter for autoclave</t>
  </si>
  <si>
    <t>Shelter for treatment system</t>
  </si>
  <si>
    <t>Total annual capital costs per medium HCF</t>
  </si>
  <si>
    <t>Total annual capital costs for all medim HCFs</t>
  </si>
  <si>
    <t>Average amount of sharps waste per day per HCF</t>
  </si>
  <si>
    <t>50-liter plastic bag</t>
  </si>
  <si>
    <t>half-time</t>
  </si>
  <si>
    <t>Electrical use (51L autoclave)</t>
  </si>
  <si>
    <t>Water use (51L autoclave)</t>
  </si>
  <si>
    <t>liter/100 liters waste</t>
  </si>
  <si>
    <t>liter/day</t>
  </si>
  <si>
    <t>Small ash pit</t>
  </si>
  <si>
    <t>Fuel use (medium incinerator)</t>
  </si>
  <si>
    <t>$/liter diesel</t>
  </si>
  <si>
    <t>Small-scale incinerator (5 kg/hr)</t>
  </si>
  <si>
    <t>Small-scale incinerator (12 kg/hr)</t>
  </si>
  <si>
    <t>Number of beds per needle remover</t>
  </si>
  <si>
    <t>beds/unit</t>
  </si>
  <si>
    <t>Average number of beds per large Group A HCF</t>
  </si>
  <si>
    <t>kg/day per large HCF</t>
  </si>
  <si>
    <t>liter/day per large HCF</t>
  </si>
  <si>
    <t>Value</t>
  </si>
  <si>
    <t>Unit</t>
  </si>
  <si>
    <t>$/cubic meter</t>
  </si>
  <si>
    <t>liter/cycle</t>
  </si>
  <si>
    <t>$/staff-year</t>
  </si>
  <si>
    <t>Assumptions</t>
  </si>
  <si>
    <t>Calculations: annual capital costs</t>
  </si>
  <si>
    <t>#</t>
  </si>
  <si>
    <t>Calculations: annual recurrent costs</t>
  </si>
  <si>
    <t>kg/bed-day</t>
  </si>
  <si>
    <t>$/day</t>
  </si>
  <si>
    <t>staff</t>
  </si>
  <si>
    <t>50-liter bin</t>
  </si>
  <si>
    <t>$/box</t>
  </si>
  <si>
    <t>50-liter plastic bags</t>
  </si>
  <si>
    <t>$/bag</t>
  </si>
  <si>
    <t>Number of small HCFs</t>
  </si>
  <si>
    <t>Default value</t>
  </si>
  <si>
    <t>SMALL HEALTH CARE FACILITIES</t>
  </si>
  <si>
    <t>MEDIUM HEALTH CARE FACILITIES</t>
  </si>
  <si>
    <t>Number of medium HCFs</t>
  </si>
  <si>
    <t>kg/day</t>
  </si>
  <si>
    <t>LARGE HEALTH CARE FACILITIES</t>
  </si>
  <si>
    <t>Number of large Group A HCFs (100-499 beds)</t>
  </si>
  <si>
    <t>Infectious waste generation</t>
  </si>
  <si>
    <t>Sharps waste generation</t>
  </si>
  <si>
    <t>Days of operation</t>
  </si>
  <si>
    <t>days/year</t>
  </si>
  <si>
    <t>Discount rate</t>
  </si>
  <si>
    <t>fraction</t>
  </si>
  <si>
    <t>Cost of water &amp; sewage</t>
  </si>
  <si>
    <t>$</t>
  </si>
  <si>
    <t>Bulk density, infectious waste</t>
  </si>
  <si>
    <t>kg/liter</t>
  </si>
  <si>
    <t>Default</t>
  </si>
  <si>
    <t>General assumptions</t>
  </si>
  <si>
    <t xml:space="preserve">Personal protection equipment </t>
  </si>
  <si>
    <t>Lifespan (yrs)</t>
  </si>
  <si>
    <t>Simple autoclave shelter</t>
  </si>
  <si>
    <t>Sharps pit</t>
  </si>
  <si>
    <t>Safety box</t>
  </si>
  <si>
    <t>15-liter plastic bags</t>
  </si>
  <si>
    <t>15-liter bin</t>
  </si>
  <si>
    <t>15-liter plastic bag</t>
  </si>
  <si>
    <t>Needle remover</t>
  </si>
  <si>
    <t>Wages for HCW worker</t>
  </si>
  <si>
    <t>Cost of electricity</t>
  </si>
  <si>
    <t>$/kWh</t>
  </si>
  <si>
    <t>Training (1 day per year)</t>
  </si>
  <si>
    <t>Small pit</t>
  </si>
  <si>
    <t>Item</t>
  </si>
  <si>
    <t>Unit price</t>
  </si>
  <si>
    <t>Quantity</t>
  </si>
  <si>
    <t>Lifespan</t>
  </si>
  <si>
    <t>Annual cost</t>
  </si>
  <si>
    <t>15-liter bins</t>
  </si>
  <si>
    <t>Personal protection equipment</t>
  </si>
  <si>
    <t>Autoclave shelter</t>
  </si>
  <si>
    <t>Option 1</t>
  </si>
  <si>
    <t>Total annual capital costs per small HCF</t>
  </si>
  <si>
    <t>Total annual capital costs for all small HCFs</t>
  </si>
  <si>
    <t>Safety boxes</t>
  </si>
  <si>
    <t>Weight of syringe</t>
  </si>
  <si>
    <t>kg/syringe</t>
  </si>
  <si>
    <t>Capacity of safety box</t>
  </si>
  <si>
    <t>syringes/box</t>
  </si>
  <si>
    <t>Electricity</t>
  </si>
  <si>
    <t>Electrical use (24L autoclave)</t>
  </si>
  <si>
    <t>Water &amp; sewage</t>
  </si>
  <si>
    <t>Water use (24L autoclave)</t>
  </si>
  <si>
    <t>kWh/cycle</t>
  </si>
  <si>
    <t>Staff wages</t>
  </si>
  <si>
    <t>runs/day</t>
  </si>
  <si>
    <t>Maintenance</t>
  </si>
  <si>
    <t>fraction of capital cost</t>
  </si>
  <si>
    <t>% of capital cost</t>
  </si>
  <si>
    <t>Training</t>
  </si>
  <si>
    <t>staff/HCF</t>
  </si>
  <si>
    <t>INPUT SHEET</t>
  </si>
  <si>
    <t>Total annual costs for all medium clusters</t>
  </si>
  <si>
    <t>Total annual costs for all large clusters</t>
  </si>
  <si>
    <t>Option 2: Very large incinerator and ash pit</t>
  </si>
  <si>
    <t>Decentralized (On-Site) Treatment</t>
  </si>
  <si>
    <t xml:space="preserve">    GRAND TOTAL ANNUAL COSTS (OPTION 1)</t>
  </si>
  <si>
    <t>Population of the country</t>
  </si>
  <si>
    <t>PERCENT OF ANNUAL NATIONAL HEALTH-CARE BUDGET: %</t>
  </si>
  <si>
    <t>Total infectious waste generation: kg per year</t>
  </si>
  <si>
    <t>Total health-care waste generation: kg per year</t>
  </si>
  <si>
    <t>Total sharps waste generation: kg per year</t>
  </si>
  <si>
    <t>Total sharps waste generation: syringes per year</t>
  </si>
  <si>
    <t>kg/year</t>
  </si>
  <si>
    <t>tonnes/year</t>
  </si>
  <si>
    <t>syringes/yr</t>
  </si>
  <si>
    <t>Average number of medium HCFs in a medium cluster</t>
  </si>
  <si>
    <t>Average total beds of medium HCFs in a medium cluster</t>
  </si>
  <si>
    <t>Average number of small HCFs in a large cluster</t>
  </si>
  <si>
    <t>Average number of medium HCFs in a large cluster</t>
  </si>
  <si>
    <t>Average total beds of medium HCFs in a large cluster</t>
  </si>
  <si>
    <t>Infectious waste generation per small HCF</t>
  </si>
  <si>
    <t>Sharps waste generation per small HCF</t>
  </si>
  <si>
    <t>$/yr (sharps only)</t>
  </si>
  <si>
    <t>Average total kilograms infectious waste per day in the cluster</t>
  </si>
  <si>
    <t>Average total kilograms infectious waste per year in the cluster</t>
  </si>
  <si>
    <t>Average total volume infectious waste per day in the cluster</t>
  </si>
  <si>
    <t>%</t>
  </si>
  <si>
    <t>/bed-yr</t>
  </si>
  <si>
    <t>/population-yr</t>
  </si>
  <si>
    <t>/kg</t>
  </si>
  <si>
    <t>/syringe</t>
  </si>
  <si>
    <t>/(bed+small HCF)-yr</t>
  </si>
  <si>
    <t xml:space="preserve">GRAND TOTAL ANNUAL COSTS PER BED </t>
  </si>
  <si>
    <t xml:space="preserve">GRAND TOTAL ANNUAL COSTS PER [BED+SMALL HCF] </t>
  </si>
  <si>
    <t xml:space="preserve">GRAND TOTAL ANNUAL COSTS PER CAPITA </t>
  </si>
  <si>
    <t>GRAND TOTAL COSTS PER KG INF WASTE</t>
  </si>
  <si>
    <t>GRAND TOTAL COSTS PER KG TOTAL WASTE</t>
  </si>
  <si>
    <t xml:space="preserve">TOTAL COSTS (SHARPS ONLY) PER KG SHARPS </t>
  </si>
  <si>
    <t>TOTAL COSTS (SHARPS ONLY) PER SYRINGE</t>
  </si>
  <si>
    <t xml:space="preserve">    GRAND TOTAL ANNUAL COSTS (OPTION 2)</t>
  </si>
  <si>
    <t xml:space="preserve">    GRAND TOTAL ANNUAL COSTS (OPTIONS 3 &amp; 1)</t>
  </si>
  <si>
    <t xml:space="preserve">    GRAND TOTAL ANNUAL COSTS (OPTIONS 4 &amp; 2)</t>
  </si>
  <si>
    <t>Health-care waste management • Expanded Costing Analysis Tool (ECAT) - L</t>
  </si>
  <si>
    <t>For low-income countries</t>
  </si>
  <si>
    <t>Content</t>
  </si>
  <si>
    <t>Section</t>
  </si>
  <si>
    <t>Level</t>
  </si>
  <si>
    <t>Introduction</t>
  </si>
  <si>
    <t>Provides basic information about this costing tool</t>
  </si>
  <si>
    <t>National</t>
  </si>
  <si>
    <t>Input</t>
  </si>
  <si>
    <t>Small HCFs</t>
  </si>
  <si>
    <t>Medium HCFs</t>
  </si>
  <si>
    <t>Large HCFs</t>
  </si>
  <si>
    <t>Clusters</t>
  </si>
  <si>
    <t>Results</t>
  </si>
  <si>
    <t>Facility level</t>
  </si>
  <si>
    <t>Cluster and facility levels</t>
  </si>
  <si>
    <t>National level</t>
  </si>
  <si>
    <t>Lists assumptions used in the costing tool</t>
  </si>
  <si>
    <t>Shows results of the calculations</t>
  </si>
  <si>
    <t>&gt;</t>
  </si>
  <si>
    <t>To access any of the above "chapters", click on the tabs below.</t>
  </si>
  <si>
    <t>We are interested in your comments and feedback !</t>
  </si>
  <si>
    <t>Contacts</t>
  </si>
  <si>
    <t>World Health Organization:  http://www.healthcarewaste.org    |      E-mail: hcwaste@who.int</t>
  </si>
  <si>
    <t>Disclaimer</t>
  </si>
  <si>
    <t>This spreadsheet has been prepared with the aim of creating a simple, useable tool that fits as closely as possible to field reality. The WHO nevertheless makes no warranty as to its fitness or accuracy, either for the purpose for which it has been developed or for any other purpose.</t>
  </si>
  <si>
    <t>Facility, cluster and national levels</t>
  </si>
  <si>
    <t>Send to WHO any comments and/or costing information you feel could help build up knowledge about field data.</t>
  </si>
  <si>
    <t>•</t>
  </si>
  <si>
    <t>A Rapid Assessment Tool (RAT) has also been developed by WHO to help gather essential data regarding HCWM practices and equipment in a given country. This tool should help determine priorities so that realistic objectives and appropriate strategies can be defined. It can be down-loaded from the www.healthcarewaste.org website.</t>
  </si>
  <si>
    <t>Who can/should use this costing tool ?</t>
  </si>
  <si>
    <t>How to use this costing tool ?</t>
  </si>
  <si>
    <t>Information &amp; Contacts</t>
  </si>
  <si>
    <t>To comment on this tool, please contact WHO: hcwaste@who.int</t>
  </si>
  <si>
    <t>Potential partners with international or regional outreach that are interested in advancing the agenda of safe HCWM and wish to cooperate in the further development and implementation of activities can contact WHO [E-mail: hcwaste@who.int]. Visit our web site www.healthcarewaste.org for additional information.</t>
  </si>
  <si>
    <t>HCWM • Expanded costing analysis tool</t>
  </si>
  <si>
    <t>General Data</t>
  </si>
  <si>
    <t>Annual national health-care budget ($)</t>
  </si>
  <si>
    <t>Capital cost assumptions</t>
  </si>
  <si>
    <t xml:space="preserve">Variable </t>
  </si>
  <si>
    <t>Recurrent cost assumptions</t>
  </si>
  <si>
    <t>No. of reusable sharps containers/bed</t>
  </si>
  <si>
    <t>Number of reusable sharps containers per small HCF</t>
  </si>
  <si>
    <t>The aim of this tool is to help estimate annual budgets that need to be allocated for HCWM.</t>
  </si>
  <si>
    <t>Basic approaches, assumptions and objectives</t>
  </si>
  <si>
    <t>Very large ash pit (lined)</t>
  </si>
  <si>
    <t>Medium HCW shredder</t>
  </si>
  <si>
    <t>Large HCW shredder</t>
  </si>
  <si>
    <r>
      <t>Senior management personnel</t>
    </r>
    <r>
      <rPr>
        <sz val="9"/>
        <rFont val="Arial"/>
        <family val="2"/>
      </rPr>
      <t xml:space="preserve"> (or other trained personnel) responsible for the design, implementation, evaluation and updating of the national policy and plans for health care waste management constitute the primary audience of this costing toolbox.</t>
    </r>
  </si>
  <si>
    <r>
      <t>International experts</t>
    </r>
    <r>
      <rPr>
        <sz val="9"/>
        <rFont val="Arial"/>
        <family val="2"/>
      </rPr>
      <t xml:space="preserve"> will find this simple toolbox useful when asked for assistance to provide costing information linked to HCWM.</t>
    </r>
  </si>
  <si>
    <t>Enables user to input required data</t>
  </si>
  <si>
    <t>Calculates HCWM costs for small health-care facilities</t>
  </si>
  <si>
    <t>Calculates HCWM costs for medium health-care facilities</t>
  </si>
  <si>
    <t>Calculates HCWM costs for large health-care facilities</t>
  </si>
  <si>
    <t>Calculates HCWM costs for cluster or centralized treatment facilities</t>
  </si>
  <si>
    <t>Calculates HCWM costs at the national level</t>
  </si>
  <si>
    <t>Gross domestic product GDP ($)</t>
  </si>
  <si>
    <r>
      <t xml:space="preserve">   2)  </t>
    </r>
    <r>
      <rPr>
        <b/>
        <sz val="9"/>
        <color indexed="56"/>
        <rFont val="Arial"/>
        <family val="2"/>
      </rPr>
      <t>Light green shaded cells</t>
    </r>
    <r>
      <rPr>
        <b/>
        <sz val="9"/>
        <color indexed="58"/>
        <rFont val="Arial"/>
        <family val="2"/>
      </rPr>
      <t xml:space="preserve">: </t>
    </r>
    <r>
      <rPr>
        <sz val="9"/>
        <color indexed="58"/>
        <rFont val="Arial"/>
        <family val="2"/>
      </rPr>
      <t>these are required INPUT values and should be provided by the user.</t>
    </r>
  </si>
  <si>
    <t>PERCENT OF GROSS DOMESTIC PRODUCT: %</t>
  </si>
  <si>
    <t>Step 2: Review the assumptions and determine if they are appropriate for the conditions in the country or if country-specific data are available. In particular, country-specific data should be obtained for: wages of HCW workers, cleaners, waste management officers, treatment facility managers, and national staff; local costs of electricity, fuel, and water &amp; sewage; and, if centralized treatment is desired, the average daily cost of operating a transport vehicle, and landfill fees. Be sure to convert data to the correct units specified in the costing tool.</t>
  </si>
  <si>
    <t>Step 4: Obtain or compute the total number of beds in the country, overall population, annual national health-care budge and gross domestic product.</t>
  </si>
  <si>
    <t>Average transportation cost per day per vehicle (fuel, oil, driver, etc.)</t>
  </si>
  <si>
    <t>Average total sharps waste per day in the cluster</t>
  </si>
  <si>
    <t>Average total sharps waste per year in the cluster</t>
  </si>
  <si>
    <t>Number of full-time equivalent HCW workers in the cluster</t>
  </si>
  <si>
    <r>
      <t>Step 6: In the Assumption section and in the Assumptions portion at the beginning of each calculation section, replace any assumptions (</t>
    </r>
    <r>
      <rPr>
        <b/>
        <sz val="9"/>
        <color indexed="53"/>
        <rFont val="Arial"/>
        <family val="2"/>
      </rPr>
      <t>orange</t>
    </r>
    <r>
      <rPr>
        <sz val="9"/>
        <rFont val="Arial"/>
        <family val="2"/>
      </rPr>
      <t xml:space="preserve"> values) with more appropriate or country-specific data, if available. Then, in the Input section, input the data obtained in Steps 2 to 4. Be sure NOT to include data for HCFs served by clusters (centralized treatment) in the section for on-site (decentralized) treatment. Important: Set all  variables that are not used in the Input section to zero. For example, if there are no large  clusters, be sure to set all the numbers related to large clusters (from C30 to C35 in the Input section) to zero. Here's a short description of the color code:</t>
    </r>
  </si>
  <si>
    <t>of cap cost</t>
  </si>
  <si>
    <t>Test indicators</t>
  </si>
  <si>
    <t>$/indicator</t>
  </si>
  <si>
    <t>Autoclave test indicators</t>
  </si>
  <si>
    <t>test/day</t>
  </si>
  <si>
    <t>of cap. cost</t>
  </si>
  <si>
    <t xml:space="preserve">Facility construction </t>
  </si>
  <si>
    <t>Average number of small HCFs in a medium cluster</t>
  </si>
  <si>
    <t xml:space="preserve">Estimate of potential revenues from </t>
  </si>
  <si>
    <t>Potential revenues for all small HCFs:</t>
  </si>
  <si>
    <t xml:space="preserve">  sale of plastics for re-melting</t>
  </si>
  <si>
    <t>Annual revenues</t>
  </si>
  <si>
    <t>kg</t>
  </si>
  <si>
    <t>Potential revenues for all medium HCFs:</t>
  </si>
  <si>
    <t>Potential revenues for all large HCFs:</t>
  </si>
  <si>
    <t>TOTAL Revenues from small, medium and large HCFs:</t>
  </si>
  <si>
    <t>Revenues from sale of plastics for re-melting</t>
  </si>
  <si>
    <t>Sale of plastics</t>
  </si>
  <si>
    <t>Annual Revenue</t>
  </si>
  <si>
    <t>No. of reusable sharps containers/bed for medium &amp; large HCF</t>
  </si>
  <si>
    <t>% of cap. cost</t>
  </si>
  <si>
    <t>Sale of plastics if decontaminated</t>
  </si>
  <si>
    <r>
      <t xml:space="preserve">Option 1: </t>
    </r>
    <r>
      <rPr>
        <b/>
        <sz val="10"/>
        <color indexed="9"/>
        <rFont val="Arial"/>
        <family val="2"/>
      </rPr>
      <t>Autoclaves and sharps pits</t>
    </r>
  </si>
  <si>
    <r>
      <t xml:space="preserve">Option 2: </t>
    </r>
    <r>
      <rPr>
        <b/>
        <sz val="10"/>
        <color indexed="9"/>
        <rFont val="Arial"/>
        <family val="2"/>
      </rPr>
      <t>Incinerators and ash pits</t>
    </r>
  </si>
  <si>
    <r>
      <t>Option 3:</t>
    </r>
    <r>
      <rPr>
        <b/>
        <sz val="10"/>
        <color indexed="9"/>
        <rFont val="Arial"/>
        <family val="2"/>
      </rPr>
      <t xml:space="preserve"> Option 1 with on-site needle removers</t>
    </r>
  </si>
  <si>
    <r>
      <t xml:space="preserve">Option 4: </t>
    </r>
    <r>
      <rPr>
        <b/>
        <sz val="10"/>
        <color indexed="9"/>
        <rFont val="Arial"/>
        <family val="2"/>
      </rPr>
      <t>Option 2 with on-site needle removers</t>
    </r>
  </si>
</sst>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sFr&quot;#,##0;\-&quot;sFr&quot;#,##0"/>
    <numFmt numFmtId="166" formatCode="&quot;sFr&quot;#,##0;[Red]\-&quot;sFr&quot;#,##0"/>
    <numFmt numFmtId="167" formatCode="&quot;sFr&quot;#,##0.00;\-&quot;sFr&quot;#,##0.00"/>
    <numFmt numFmtId="168" formatCode="&quot;sFr&quot;#,##0.00;[Red]\-&quot;sFr&quot;#,##0.00"/>
    <numFmt numFmtId="169" formatCode="_-&quot;sFr&quot;* #,##0_-;\-&quot;sFr&quot;* #,##0_-;_-&quot;sFr&quot;* &quot;-&quot;_-;_-@_-"/>
    <numFmt numFmtId="170" formatCode="_-* #,##0_-;\-* #,##0_-;_-* &quot;-&quot;_-;_-@_-"/>
    <numFmt numFmtId="171" formatCode="_-&quot;sFr&quot;* #,##0.00_-;\-&quot;sFr&quot;* #,##0.00_-;_-&quot;sFr&quot;* &quot;-&quot;??_-;_-@_-"/>
    <numFmt numFmtId="172" formatCode="_-* #,##0.00_-;\-* #,##0.00_-;_-* &quot;-&quot;??_-;_-@_-"/>
    <numFmt numFmtId="173" formatCode="&quot;$&quot;#,##0;\-&quot;$&quot;#,##0"/>
    <numFmt numFmtId="174" formatCode="&quot;$&quot;#,##0;[Red]\-&quot;$&quot;#,##0"/>
    <numFmt numFmtId="175" formatCode="&quot;$&quot;#,##0.00;\-&quot;$&quot;#,##0.00"/>
    <numFmt numFmtId="176" formatCode="&quot;$&quot;#,##0.00;[Red]\-&quot;$&quot;#,##0.00"/>
    <numFmt numFmtId="177" formatCode="_-&quot;$&quot;* #,##0_-;\-&quot;$&quot;* #,##0_-;_-&quot;$&quot;* &quot;-&quot;_-;_-@_-"/>
    <numFmt numFmtId="178" formatCode="_-&quot;$&quot;* #,##0.00_-;\-&quot;$&quot;* #,##0.00_-;_-&quot;$&quot;* &quot;-&quot;??_-;_-@_-"/>
    <numFmt numFmtId="179" formatCode="&quot;Fr &quot;#,##0;\-&quot;Fr &quot;#,##0"/>
    <numFmt numFmtId="180" formatCode="&quot;Fr &quot;#,##0;[Red]\-&quot;Fr &quot;#,##0"/>
    <numFmt numFmtId="181" formatCode="&quot;Fr &quot;#,##0.00;\-&quot;Fr &quot;#,##0.00"/>
    <numFmt numFmtId="182" formatCode="&quot;Fr &quot;#,##0.00;[Red]\-&quot;Fr &quot;#,##0.00"/>
    <numFmt numFmtId="183" formatCode="_-&quot;Fr &quot;* #,##0_-;\-&quot;Fr &quot;* #,##0_-;_-&quot;Fr &quot;* &quot;-&quot;_-;_-@_-"/>
    <numFmt numFmtId="184" formatCode="_-&quot;Fr &quot;* #,##0.00_-;\-&quot;Fr &quot;* #,##0.00_-;_-&quot;Fr &quot;* &quot;-&quot;??_-;_-@_-"/>
    <numFmt numFmtId="185" formatCode="#,##0\ &quot;F&quot;;\-#,##0\ &quot;F&quot;"/>
    <numFmt numFmtId="186" formatCode="#,##0\ &quot;F&quot;;[Red]\-#,##0\ &quot;F&quot;"/>
    <numFmt numFmtId="187" formatCode="#,##0.00\ &quot;F&quot;;\-#,##0.00\ &quot;F&quot;"/>
    <numFmt numFmtId="188" formatCode="#,##0.00\ &quot;F&quot;;[Red]\-#,##0.00\ &quot;F&quot;"/>
    <numFmt numFmtId="189" formatCode="_-* #,##0\ &quot;F&quot;_-;\-* #,##0\ &quot;F&quot;_-;_-* &quot;-&quot;\ &quot;F&quot;_-;_-@_-"/>
    <numFmt numFmtId="190" formatCode="_-* #,##0\ _F_-;\-* #,##0\ _F_-;_-* &quot;-&quot;\ _F_-;_-@_-"/>
    <numFmt numFmtId="191" formatCode="_-* #,##0.00\ &quot;F&quot;_-;\-* #,##0.00\ &quot;F&quot;_-;_-* &quot;-&quot;??\ &quot;F&quot;_-;_-@_-"/>
    <numFmt numFmtId="192" formatCode="_-* #,##0.00\ _F_-;\-* #,##0.00\ _F_-;_-* &quot;-&quot;??\ _F_-;_-@_-"/>
    <numFmt numFmtId="193" formatCode="&quot;.&quot;\ \ "/>
    <numFmt numFmtId="194" formatCode="0&quot;.&quot;\ \ "/>
    <numFmt numFmtId="195" formatCode="dddd\ dd/mm/yyyy"/>
    <numFmt numFmtId="196" formatCode="dddd\ d\ mmmm"/>
    <numFmt numFmtId="197" formatCode="0.000000000000000%"/>
    <numFmt numFmtId="198" formatCode="#,##0.0"/>
    <numFmt numFmtId="199" formatCode="0.0%"/>
    <numFmt numFmtId="200" formatCode="0.0"/>
    <numFmt numFmtId="201" formatCode="#,##0.0&quot;0&quot;"/>
    <numFmt numFmtId="202" formatCode="#,##0.000000000000"/>
    <numFmt numFmtId="203" formatCode="&quot;$&quot;#,##0"/>
    <numFmt numFmtId="204" formatCode="#,##0.00000"/>
    <numFmt numFmtId="205" formatCode="#,##0.0000"/>
    <numFmt numFmtId="206" formatCode="0.000"/>
    <numFmt numFmtId="207" formatCode="#,##0.000"/>
  </numFmts>
  <fonts count="42">
    <font>
      <sz val="10"/>
      <name val="Arial"/>
      <family val="0"/>
    </font>
    <font>
      <sz val="8"/>
      <name val="Arial"/>
      <family val="0"/>
    </font>
    <font>
      <u val="single"/>
      <sz val="10"/>
      <color indexed="12"/>
      <name val="Arial"/>
      <family val="0"/>
    </font>
    <font>
      <u val="single"/>
      <sz val="10"/>
      <color indexed="36"/>
      <name val="Arial"/>
      <family val="0"/>
    </font>
    <font>
      <sz val="12"/>
      <name val="Times New Roman"/>
      <family val="1"/>
    </font>
    <font>
      <sz val="12"/>
      <name val="Symbol"/>
      <family val="1"/>
    </font>
    <font>
      <b/>
      <sz val="10"/>
      <name val="Arial"/>
      <family val="0"/>
    </font>
    <font>
      <b/>
      <sz val="12"/>
      <name val="Arial"/>
      <family val="2"/>
    </font>
    <font>
      <sz val="10"/>
      <color indexed="16"/>
      <name val="Arial"/>
      <family val="0"/>
    </font>
    <font>
      <b/>
      <sz val="11"/>
      <name val="Arial"/>
      <family val="0"/>
    </font>
    <font>
      <b/>
      <sz val="14"/>
      <name val="Arial"/>
      <family val="0"/>
    </font>
    <font>
      <sz val="11"/>
      <name val="Arial"/>
      <family val="0"/>
    </font>
    <font>
      <b/>
      <sz val="14"/>
      <color indexed="9"/>
      <name val="Arial"/>
      <family val="0"/>
    </font>
    <font>
      <b/>
      <sz val="12"/>
      <color indexed="9"/>
      <name val="Arial"/>
      <family val="0"/>
    </font>
    <font>
      <sz val="10"/>
      <color indexed="9"/>
      <name val="Arial"/>
      <family val="0"/>
    </font>
    <font>
      <sz val="12"/>
      <name val="Arial"/>
      <family val="0"/>
    </font>
    <font>
      <sz val="11"/>
      <color indexed="9"/>
      <name val="Arial"/>
      <family val="0"/>
    </font>
    <font>
      <sz val="12"/>
      <color indexed="9"/>
      <name val="Arial"/>
      <family val="0"/>
    </font>
    <font>
      <b/>
      <sz val="13"/>
      <name val="Arial"/>
      <family val="0"/>
    </font>
    <font>
      <sz val="13"/>
      <name val="Arial"/>
      <family val="0"/>
    </font>
    <font>
      <b/>
      <sz val="13"/>
      <name val="Times New Roman"/>
      <family val="1"/>
    </font>
    <font>
      <b/>
      <sz val="11"/>
      <color indexed="9"/>
      <name val="Arial"/>
      <family val="0"/>
    </font>
    <font>
      <b/>
      <sz val="13"/>
      <color indexed="9"/>
      <name val="Arial"/>
      <family val="0"/>
    </font>
    <font>
      <sz val="13"/>
      <color indexed="9"/>
      <name val="Arial"/>
      <family val="0"/>
    </font>
    <font>
      <b/>
      <sz val="18"/>
      <name val="Arial"/>
      <family val="2"/>
    </font>
    <font>
      <i/>
      <sz val="10"/>
      <name val="Arial"/>
      <family val="2"/>
    </font>
    <font>
      <sz val="9"/>
      <name val="Arial"/>
      <family val="2"/>
    </font>
    <font>
      <i/>
      <sz val="9"/>
      <name val="Arial"/>
      <family val="0"/>
    </font>
    <font>
      <b/>
      <sz val="9"/>
      <color indexed="52"/>
      <name val="Arial"/>
      <family val="0"/>
    </font>
    <font>
      <b/>
      <sz val="10"/>
      <color indexed="56"/>
      <name val="Arial"/>
      <family val="0"/>
    </font>
    <font>
      <b/>
      <sz val="10"/>
      <color indexed="53"/>
      <name val="Arial"/>
      <family val="2"/>
    </font>
    <font>
      <sz val="10"/>
      <color indexed="8"/>
      <name val="Arial"/>
      <family val="0"/>
    </font>
    <font>
      <b/>
      <sz val="9"/>
      <color indexed="53"/>
      <name val="Arial"/>
      <family val="2"/>
    </font>
    <font>
      <b/>
      <sz val="9"/>
      <color indexed="58"/>
      <name val="Arial"/>
      <family val="2"/>
    </font>
    <font>
      <sz val="9"/>
      <color indexed="58"/>
      <name val="Arial"/>
      <family val="2"/>
    </font>
    <font>
      <b/>
      <sz val="9"/>
      <name val="Arial"/>
      <family val="0"/>
    </font>
    <font>
      <sz val="10"/>
      <color indexed="58"/>
      <name val="Arial"/>
      <family val="0"/>
    </font>
    <font>
      <b/>
      <sz val="9"/>
      <color indexed="56"/>
      <name val="Arial"/>
      <family val="2"/>
    </font>
    <font>
      <b/>
      <sz val="10"/>
      <color indexed="9"/>
      <name val="Arial"/>
      <family val="2"/>
    </font>
    <font>
      <b/>
      <sz val="10"/>
      <color indexed="10"/>
      <name val="Arial"/>
      <family val="2"/>
    </font>
    <font>
      <b/>
      <sz val="10"/>
      <color indexed="12"/>
      <name val="Arial"/>
      <family val="2"/>
    </font>
    <font>
      <b/>
      <sz val="10"/>
      <color indexed="17"/>
      <name val="Arial"/>
      <family val="0"/>
    </font>
  </fonts>
  <fills count="26">
    <fill>
      <patternFill/>
    </fill>
    <fill>
      <patternFill patternType="gray125"/>
    </fill>
    <fill>
      <patternFill patternType="solid">
        <fgColor indexed="47"/>
        <bgColor indexed="64"/>
      </patternFill>
    </fill>
    <fill>
      <patternFill patternType="solid">
        <fgColor indexed="52"/>
        <bgColor indexed="64"/>
      </patternFill>
    </fill>
    <fill>
      <patternFill patternType="solid">
        <fgColor indexed="51"/>
        <bgColor indexed="64"/>
      </patternFill>
    </fill>
    <fill>
      <patternFill patternType="solid">
        <fgColor indexed="22"/>
        <bgColor indexed="64"/>
      </patternFill>
    </fill>
    <fill>
      <patternFill patternType="solid">
        <fgColor indexed="49"/>
        <bgColor indexed="64"/>
      </patternFill>
    </fill>
    <fill>
      <patternFill patternType="solid">
        <fgColor indexed="15"/>
        <bgColor indexed="64"/>
      </patternFill>
    </fill>
    <fill>
      <patternFill patternType="solid">
        <fgColor indexed="41"/>
        <bgColor indexed="64"/>
      </patternFill>
    </fill>
    <fill>
      <patternFill patternType="solid">
        <fgColor indexed="46"/>
        <bgColor indexed="64"/>
      </patternFill>
    </fill>
    <fill>
      <patternFill patternType="solid">
        <fgColor indexed="20"/>
        <bgColor indexed="64"/>
      </patternFill>
    </fill>
    <fill>
      <patternFill patternType="solid">
        <fgColor indexed="23"/>
        <bgColor indexed="64"/>
      </patternFill>
    </fill>
    <fill>
      <patternFill patternType="solid">
        <fgColor indexed="45"/>
        <bgColor indexed="64"/>
      </patternFill>
    </fill>
    <fill>
      <patternFill patternType="solid">
        <fgColor indexed="60"/>
        <bgColor indexed="64"/>
      </patternFill>
    </fill>
    <fill>
      <patternFill patternType="solid">
        <fgColor indexed="63"/>
        <bgColor indexed="64"/>
      </patternFill>
    </fill>
    <fill>
      <patternFill patternType="solid">
        <fgColor indexed="61"/>
        <bgColor indexed="64"/>
      </patternFill>
    </fill>
    <fill>
      <patternFill patternType="solid">
        <fgColor indexed="18"/>
        <bgColor indexed="64"/>
      </patternFill>
    </fill>
    <fill>
      <patternFill patternType="solid">
        <fgColor indexed="57"/>
        <bgColor indexed="64"/>
      </patternFill>
    </fill>
    <fill>
      <patternFill patternType="solid">
        <fgColor indexed="48"/>
        <bgColor indexed="64"/>
      </patternFill>
    </fill>
    <fill>
      <patternFill patternType="solid">
        <fgColor indexed="44"/>
        <bgColor indexed="64"/>
      </patternFill>
    </fill>
    <fill>
      <patternFill patternType="solid">
        <fgColor indexed="14"/>
        <bgColor indexed="64"/>
      </patternFill>
    </fill>
    <fill>
      <patternFill patternType="solid">
        <fgColor indexed="55"/>
        <bgColor indexed="64"/>
      </patternFill>
    </fill>
    <fill>
      <patternFill patternType="solid">
        <fgColor indexed="42"/>
        <bgColor indexed="64"/>
      </patternFill>
    </fill>
    <fill>
      <patternFill patternType="solid">
        <fgColor indexed="19"/>
        <bgColor indexed="64"/>
      </patternFill>
    </fill>
    <fill>
      <patternFill patternType="solid">
        <fgColor indexed="13"/>
        <bgColor indexed="64"/>
      </patternFill>
    </fill>
    <fill>
      <patternFill patternType="solid">
        <fgColor indexed="53"/>
        <bgColor indexed="64"/>
      </patternFill>
    </fill>
  </fills>
  <borders count="75">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color indexed="63"/>
      </right>
      <top style="medium"/>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style="thin"/>
      <top>
        <color indexed="63"/>
      </top>
      <bottom>
        <color indexed="63"/>
      </bottom>
    </border>
    <border>
      <left style="medium"/>
      <right>
        <color indexed="63"/>
      </right>
      <top style="thin"/>
      <bottom style="thin"/>
    </border>
    <border>
      <left style="medium"/>
      <right>
        <color indexed="63"/>
      </right>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thin"/>
      <top style="medium"/>
      <bottom style="thin"/>
    </border>
    <border>
      <left>
        <color indexed="63"/>
      </left>
      <right style="medium"/>
      <top>
        <color indexed="63"/>
      </top>
      <bottom style="mediu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style="thin"/>
      <right style="thin"/>
      <top style="medium"/>
      <bottom style="thin"/>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color indexed="63"/>
      </top>
      <bottom style="thin"/>
    </border>
    <border>
      <left>
        <color indexed="63"/>
      </left>
      <right style="thin"/>
      <top style="medium"/>
      <bottom style="medium"/>
    </border>
    <border>
      <left style="medium"/>
      <right>
        <color indexed="63"/>
      </right>
      <top style="medium"/>
      <bottom>
        <color indexed="63"/>
      </bottom>
    </border>
    <border>
      <left style="medium"/>
      <right style="thin"/>
      <top style="medium"/>
      <bottom style="thin"/>
    </border>
    <border>
      <left style="medium"/>
      <right style="thin"/>
      <top>
        <color indexed="63"/>
      </top>
      <bottom style="thin"/>
    </border>
    <border>
      <left style="medium"/>
      <right style="thin"/>
      <top style="medium"/>
      <bottom style="medium"/>
    </border>
    <border>
      <left style="medium"/>
      <right>
        <color indexed="63"/>
      </right>
      <top style="medium"/>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style="thin"/>
      <bottom style="thin"/>
    </border>
    <border>
      <left style="medium"/>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thin"/>
      <right style="thin"/>
      <top>
        <color indexed="63"/>
      </top>
      <bottom>
        <color indexed="63"/>
      </bottom>
    </border>
    <border>
      <left style="medium"/>
      <right>
        <color indexed="63"/>
      </right>
      <top style="thin"/>
      <bottom style="double"/>
    </border>
    <border>
      <left>
        <color indexed="63"/>
      </left>
      <right>
        <color indexed="63"/>
      </right>
      <top style="thin"/>
      <bottom>
        <color indexed="63"/>
      </bottom>
    </border>
    <border>
      <left style="medium"/>
      <right>
        <color indexed="63"/>
      </right>
      <top style="thin"/>
      <bottom>
        <color indexed="63"/>
      </bottom>
    </border>
    <border>
      <left>
        <color indexed="63"/>
      </left>
      <right>
        <color indexed="63"/>
      </right>
      <top>
        <color indexed="63"/>
      </top>
      <bottom style="mediumDashDotDot"/>
    </border>
    <border>
      <left>
        <color indexed="63"/>
      </left>
      <right>
        <color indexed="63"/>
      </right>
      <top style="medium"/>
      <bottom style="mediumDashDotDot"/>
    </border>
    <border>
      <left>
        <color indexed="63"/>
      </left>
      <right style="thin"/>
      <top>
        <color indexed="63"/>
      </top>
      <bottom style="mediumDashDotDot"/>
    </border>
    <border>
      <left style="thin"/>
      <right>
        <color indexed="63"/>
      </right>
      <top>
        <color indexed="63"/>
      </top>
      <bottom style="mediumDashDotDot"/>
    </border>
    <border>
      <left style="thin"/>
      <right>
        <color indexed="63"/>
      </right>
      <top>
        <color indexed="63"/>
      </top>
      <bottom>
        <color indexed="63"/>
      </bottom>
    </border>
    <border>
      <left>
        <color indexed="63"/>
      </left>
      <right style="medium"/>
      <top style="thin"/>
      <bottom style="double"/>
    </border>
    <border>
      <left style="thin"/>
      <right>
        <color indexed="63"/>
      </right>
      <top>
        <color indexed="63"/>
      </top>
      <bottom style="medium"/>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color indexed="63"/>
      </bottom>
    </border>
    <border>
      <left style="thin"/>
      <right>
        <color indexed="63"/>
      </right>
      <top>
        <color indexed="63"/>
      </top>
      <bottom style="thin"/>
    </border>
    <border>
      <left style="thin"/>
      <right>
        <color indexed="63"/>
      </right>
      <top style="thin"/>
      <bottom style="medium"/>
    </border>
    <border>
      <left style="thin"/>
      <right>
        <color indexed="63"/>
      </right>
      <top style="medium"/>
      <bottom style="medium"/>
    </border>
    <border>
      <left style="medium"/>
      <right style="medium"/>
      <top style="medium"/>
      <bottom style="medium"/>
    </border>
    <border>
      <left style="thin"/>
      <right style="medium"/>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43">
    <xf numFmtId="0" fontId="0" fillId="0" borderId="0" xfId="0" applyAlignment="1">
      <alignment/>
    </xf>
    <xf numFmtId="0" fontId="4" fillId="0" borderId="0" xfId="0" applyFont="1" applyAlignment="1">
      <alignment/>
    </xf>
    <xf numFmtId="0" fontId="5" fillId="0" borderId="0" xfId="0" applyFont="1" applyAlignment="1">
      <alignment horizontal="left" indent="2"/>
    </xf>
    <xf numFmtId="0" fontId="6" fillId="0" borderId="0" xfId="0" applyFont="1"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6" fillId="0" borderId="0" xfId="0" applyFont="1" applyFill="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8" fillId="0" borderId="0" xfId="0" applyFont="1" applyAlignment="1">
      <alignment/>
    </xf>
    <xf numFmtId="0" fontId="0" fillId="0" borderId="7" xfId="0" applyBorder="1" applyAlignment="1">
      <alignment/>
    </xf>
    <xf numFmtId="0" fontId="0" fillId="0" borderId="8" xfId="0" applyBorder="1" applyAlignment="1">
      <alignment/>
    </xf>
    <xf numFmtId="0" fontId="6" fillId="0" borderId="0" xfId="0" applyFont="1"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7" fillId="2" borderId="13" xfId="0" applyFont="1" applyFill="1" applyBorder="1" applyAlignment="1">
      <alignment/>
    </xf>
    <xf numFmtId="0" fontId="9" fillId="0" borderId="0" xfId="0" applyFont="1" applyFill="1" applyBorder="1" applyAlignment="1">
      <alignment/>
    </xf>
    <xf numFmtId="0" fontId="11" fillId="3" borderId="14" xfId="0" applyFont="1" applyFill="1" applyBorder="1" applyAlignment="1">
      <alignment/>
    </xf>
    <xf numFmtId="0" fontId="11" fillId="3" borderId="15" xfId="0" applyFont="1" applyFill="1" applyBorder="1" applyAlignment="1">
      <alignment/>
    </xf>
    <xf numFmtId="0" fontId="11" fillId="0" borderId="0" xfId="0" applyFont="1" applyAlignment="1">
      <alignment/>
    </xf>
    <xf numFmtId="0" fontId="11" fillId="4" borderId="7" xfId="0" applyFont="1" applyFill="1" applyBorder="1" applyAlignment="1">
      <alignment/>
    </xf>
    <xf numFmtId="0" fontId="11" fillId="4" borderId="8" xfId="0" applyFont="1" applyFill="1" applyBorder="1" applyAlignment="1">
      <alignment/>
    </xf>
    <xf numFmtId="0" fontId="11" fillId="4" borderId="16" xfId="0" applyFont="1" applyFill="1" applyBorder="1" applyAlignment="1">
      <alignment/>
    </xf>
    <xf numFmtId="0" fontId="11" fillId="0" borderId="0" xfId="0" applyFont="1" applyFill="1" applyBorder="1" applyAlignment="1">
      <alignment/>
    </xf>
    <xf numFmtId="0" fontId="11" fillId="3" borderId="13" xfId="0" applyFont="1" applyFill="1" applyBorder="1" applyAlignment="1">
      <alignment/>
    </xf>
    <xf numFmtId="0" fontId="11" fillId="3" borderId="17" xfId="0" applyFont="1" applyFill="1" applyBorder="1" applyAlignment="1">
      <alignment/>
    </xf>
    <xf numFmtId="0" fontId="9" fillId="5" borderId="2" xfId="0" applyFont="1" applyFill="1" applyBorder="1" applyAlignment="1">
      <alignment/>
    </xf>
    <xf numFmtId="0" fontId="9" fillId="5" borderId="0" xfId="0" applyFont="1" applyFill="1" applyBorder="1" applyAlignment="1">
      <alignment/>
    </xf>
    <xf numFmtId="0" fontId="9" fillId="0" borderId="0" xfId="0" applyFont="1" applyAlignment="1">
      <alignment/>
    </xf>
    <xf numFmtId="0" fontId="9" fillId="5" borderId="18" xfId="0" applyFont="1" applyFill="1" applyBorder="1" applyAlignment="1">
      <alignment/>
    </xf>
    <xf numFmtId="0" fontId="9" fillId="5" borderId="19" xfId="0" applyFont="1" applyFill="1" applyBorder="1" applyAlignment="1">
      <alignment/>
    </xf>
    <xf numFmtId="0" fontId="11" fillId="0" borderId="1" xfId="0" applyFont="1" applyBorder="1" applyAlignment="1">
      <alignment/>
    </xf>
    <xf numFmtId="0" fontId="11" fillId="0" borderId="10" xfId="0" applyFont="1" applyBorder="1" applyAlignment="1">
      <alignment/>
    </xf>
    <xf numFmtId="0" fontId="9" fillId="5" borderId="20" xfId="0" applyFont="1" applyFill="1" applyBorder="1" applyAlignment="1">
      <alignment/>
    </xf>
    <xf numFmtId="0" fontId="9" fillId="5" borderId="4" xfId="0" applyFont="1" applyFill="1" applyBorder="1" applyAlignment="1">
      <alignment/>
    </xf>
    <xf numFmtId="0" fontId="11" fillId="0" borderId="0" xfId="0" applyFont="1" applyFill="1" applyAlignment="1">
      <alignment/>
    </xf>
    <xf numFmtId="203" fontId="9" fillId="0" borderId="0" xfId="0" applyNumberFormat="1" applyFont="1" applyFill="1" applyBorder="1" applyAlignment="1">
      <alignment/>
    </xf>
    <xf numFmtId="0" fontId="9" fillId="0" borderId="0" xfId="0" applyFont="1" applyFill="1" applyAlignment="1">
      <alignment/>
    </xf>
    <xf numFmtId="0" fontId="9" fillId="0" borderId="21" xfId="0" applyFont="1" applyFill="1" applyBorder="1" applyAlignment="1">
      <alignment/>
    </xf>
    <xf numFmtId="0" fontId="11" fillId="0" borderId="21" xfId="0" applyFont="1" applyFill="1" applyBorder="1" applyAlignment="1">
      <alignment/>
    </xf>
    <xf numFmtId="0" fontId="11" fillId="0" borderId="21" xfId="0" applyFont="1" applyBorder="1" applyAlignment="1">
      <alignment/>
    </xf>
    <xf numFmtId="0" fontId="9" fillId="0" borderId="21" xfId="0" applyFont="1" applyBorder="1" applyAlignment="1">
      <alignment/>
    </xf>
    <xf numFmtId="0" fontId="0" fillId="0" borderId="22" xfId="0" applyBorder="1" applyAlignment="1">
      <alignment/>
    </xf>
    <xf numFmtId="0" fontId="7" fillId="6" borderId="23" xfId="0" applyFont="1" applyFill="1" applyBorder="1" applyAlignment="1">
      <alignment/>
    </xf>
    <xf numFmtId="0" fontId="7" fillId="6" borderId="13" xfId="0" applyFont="1" applyFill="1" applyBorder="1" applyAlignment="1">
      <alignment/>
    </xf>
    <xf numFmtId="0" fontId="10" fillId="7" borderId="23" xfId="0" applyFont="1" applyFill="1" applyBorder="1" applyAlignment="1">
      <alignment/>
    </xf>
    <xf numFmtId="0" fontId="10" fillId="7" borderId="13" xfId="0" applyFont="1" applyFill="1" applyBorder="1" applyAlignment="1">
      <alignment/>
    </xf>
    <xf numFmtId="0" fontId="7" fillId="0" borderId="0" xfId="0" applyFont="1" applyFill="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5" borderId="14" xfId="0" applyFont="1" applyFill="1" applyBorder="1" applyAlignment="1">
      <alignment/>
    </xf>
    <xf numFmtId="0" fontId="11" fillId="5" borderId="28" xfId="0" applyFont="1" applyFill="1" applyBorder="1" applyAlignment="1">
      <alignment/>
    </xf>
    <xf numFmtId="44" fontId="10" fillId="7" borderId="13" xfId="17" applyFont="1" applyFill="1" applyBorder="1" applyAlignment="1">
      <alignment/>
    </xf>
    <xf numFmtId="44" fontId="7" fillId="6" borderId="13" xfId="17" applyFont="1" applyFill="1" applyBorder="1" applyAlignment="1">
      <alignment/>
    </xf>
    <xf numFmtId="44" fontId="7" fillId="0" borderId="0" xfId="17" applyFont="1" applyFill="1" applyBorder="1" applyAlignment="1">
      <alignment/>
    </xf>
    <xf numFmtId="44" fontId="9" fillId="5" borderId="3" xfId="17" applyFont="1" applyFill="1" applyBorder="1" applyAlignment="1">
      <alignment/>
    </xf>
    <xf numFmtId="44" fontId="7" fillId="2" borderId="13" xfId="17" applyFont="1" applyFill="1" applyBorder="1" applyAlignment="1">
      <alignment/>
    </xf>
    <xf numFmtId="44" fontId="6" fillId="0" borderId="0" xfId="17" applyFont="1" applyFill="1" applyBorder="1" applyAlignment="1">
      <alignment/>
    </xf>
    <xf numFmtId="44" fontId="11" fillId="4" borderId="16" xfId="17" applyFont="1" applyFill="1" applyBorder="1" applyAlignment="1">
      <alignment/>
    </xf>
    <xf numFmtId="44" fontId="8" fillId="0" borderId="0" xfId="17" applyFont="1" applyAlignment="1">
      <alignment/>
    </xf>
    <xf numFmtId="44" fontId="9" fillId="5" borderId="29" xfId="17" applyFont="1" applyFill="1" applyBorder="1" applyAlignment="1">
      <alignment/>
    </xf>
    <xf numFmtId="44" fontId="9" fillId="0" borderId="0" xfId="17" applyFont="1" applyFill="1" applyBorder="1" applyAlignment="1">
      <alignment/>
    </xf>
    <xf numFmtId="44" fontId="11" fillId="0" borderId="10" xfId="17" applyFont="1" applyBorder="1" applyAlignment="1">
      <alignment/>
    </xf>
    <xf numFmtId="44" fontId="9" fillId="5" borderId="30" xfId="17" applyFont="1" applyFill="1" applyBorder="1" applyAlignment="1">
      <alignment/>
    </xf>
    <xf numFmtId="0" fontId="7" fillId="0" borderId="0" xfId="0" applyFont="1" applyBorder="1" applyAlignment="1">
      <alignment/>
    </xf>
    <xf numFmtId="0" fontId="7" fillId="0" borderId="1" xfId="0" applyFont="1" applyFill="1" applyBorder="1" applyAlignment="1">
      <alignment/>
    </xf>
    <xf numFmtId="0" fontId="11" fillId="8" borderId="7" xfId="0" applyFont="1" applyFill="1" applyBorder="1" applyAlignment="1">
      <alignment/>
    </xf>
    <xf numFmtId="0" fontId="11" fillId="8" borderId="8" xfId="0" applyFont="1" applyFill="1" applyBorder="1" applyAlignment="1">
      <alignment/>
    </xf>
    <xf numFmtId="0" fontId="0" fillId="0" borderId="20" xfId="0" applyBorder="1" applyAlignment="1">
      <alignment/>
    </xf>
    <xf numFmtId="44" fontId="8" fillId="0" borderId="30" xfId="17" applyFont="1" applyBorder="1" applyAlignment="1">
      <alignment/>
    </xf>
    <xf numFmtId="44" fontId="8" fillId="0" borderId="16" xfId="17" applyFont="1" applyBorder="1" applyAlignment="1">
      <alignment/>
    </xf>
    <xf numFmtId="0" fontId="15" fillId="0" borderId="0" xfId="0" applyFont="1" applyFill="1" applyBorder="1" applyAlignment="1">
      <alignment/>
    </xf>
    <xf numFmtId="0" fontId="0" fillId="0" borderId="31" xfId="0" applyBorder="1" applyAlignment="1">
      <alignment/>
    </xf>
    <xf numFmtId="0" fontId="0" fillId="0" borderId="32" xfId="0" applyBorder="1" applyAlignment="1">
      <alignment/>
    </xf>
    <xf numFmtId="0" fontId="14" fillId="0" borderId="0" xfId="0" applyFont="1" applyFill="1" applyBorder="1" applyAlignment="1">
      <alignment/>
    </xf>
    <xf numFmtId="0" fontId="15" fillId="0" borderId="21" xfId="0" applyFont="1" applyFill="1" applyBorder="1" applyAlignment="1">
      <alignment/>
    </xf>
    <xf numFmtId="44" fontId="9" fillId="0" borderId="21" xfId="17" applyFont="1" applyFill="1" applyBorder="1" applyAlignment="1">
      <alignment/>
    </xf>
    <xf numFmtId="0" fontId="0" fillId="0" borderId="0" xfId="0" applyFont="1" applyAlignment="1">
      <alignment/>
    </xf>
    <xf numFmtId="0" fontId="0" fillId="0" borderId="21" xfId="0" applyFont="1" applyFill="1" applyBorder="1" applyAlignment="1">
      <alignment/>
    </xf>
    <xf numFmtId="0" fontId="0" fillId="0" borderId="0" xfId="0" applyFont="1" applyAlignment="1">
      <alignment/>
    </xf>
    <xf numFmtId="0" fontId="0" fillId="0" borderId="1" xfId="0" applyFont="1" applyBorder="1" applyAlignment="1">
      <alignment/>
    </xf>
    <xf numFmtId="0" fontId="0" fillId="0" borderId="10" xfId="0" applyFont="1" applyBorder="1" applyAlignment="1">
      <alignment/>
    </xf>
    <xf numFmtId="0" fontId="15" fillId="0" borderId="0" xfId="0" applyFont="1" applyAlignment="1">
      <alignment/>
    </xf>
    <xf numFmtId="0" fontId="15" fillId="9" borderId="13" xfId="0" applyFont="1" applyFill="1" applyBorder="1" applyAlignment="1">
      <alignment/>
    </xf>
    <xf numFmtId="0" fontId="15" fillId="9" borderId="17" xfId="0" applyFont="1" applyFill="1" applyBorder="1" applyAlignment="1">
      <alignment/>
    </xf>
    <xf numFmtId="0" fontId="17" fillId="10" borderId="13" xfId="0" applyFont="1" applyFill="1" applyBorder="1" applyAlignment="1">
      <alignment/>
    </xf>
    <xf numFmtId="0" fontId="15" fillId="10" borderId="13" xfId="0" applyFont="1" applyFill="1" applyBorder="1" applyAlignment="1">
      <alignment/>
    </xf>
    <xf numFmtId="0" fontId="15" fillId="10" borderId="17" xfId="0" applyFont="1" applyFill="1" applyBorder="1" applyAlignment="1">
      <alignment/>
    </xf>
    <xf numFmtId="0" fontId="15" fillId="0" borderId="1" xfId="0" applyFont="1" applyBorder="1" applyAlignment="1">
      <alignment/>
    </xf>
    <xf numFmtId="0" fontId="15" fillId="0" borderId="10" xfId="0" applyFont="1" applyBorder="1" applyAlignment="1">
      <alignment/>
    </xf>
    <xf numFmtId="0" fontId="15" fillId="11" borderId="17" xfId="0" applyFont="1" applyFill="1" applyBorder="1" applyAlignment="1">
      <alignment/>
    </xf>
    <xf numFmtId="0" fontId="15" fillId="5" borderId="1" xfId="0" applyFont="1" applyFill="1" applyBorder="1" applyAlignment="1">
      <alignment/>
    </xf>
    <xf numFmtId="0" fontId="18" fillId="12" borderId="23" xfId="0" applyFont="1" applyFill="1" applyBorder="1" applyAlignment="1">
      <alignment/>
    </xf>
    <xf numFmtId="0" fontId="19" fillId="12" borderId="13" xfId="0" applyFont="1" applyFill="1" applyBorder="1" applyAlignment="1">
      <alignment/>
    </xf>
    <xf numFmtId="0" fontId="15" fillId="0" borderId="0" xfId="0" applyFont="1" applyBorder="1" applyAlignment="1">
      <alignment/>
    </xf>
    <xf numFmtId="0" fontId="12" fillId="13" borderId="23" xfId="0" applyFont="1" applyFill="1" applyBorder="1" applyAlignment="1">
      <alignment/>
    </xf>
    <xf numFmtId="0" fontId="12" fillId="13" borderId="13" xfId="0" applyFont="1" applyFill="1" applyBorder="1" applyAlignment="1">
      <alignment/>
    </xf>
    <xf numFmtId="0" fontId="18" fillId="2" borderId="23" xfId="0" applyFont="1" applyFill="1" applyBorder="1" applyAlignment="1">
      <alignment/>
    </xf>
    <xf numFmtId="0" fontId="18" fillId="2" borderId="13" xfId="0" applyFont="1" applyFill="1" applyBorder="1" applyAlignment="1">
      <alignment/>
    </xf>
    <xf numFmtId="0" fontId="20" fillId="2" borderId="13" xfId="0" applyFont="1" applyFill="1" applyBorder="1" applyAlignment="1">
      <alignment/>
    </xf>
    <xf numFmtId="0" fontId="18" fillId="0" borderId="0" xfId="0" applyFont="1" applyFill="1" applyBorder="1" applyAlignment="1">
      <alignment/>
    </xf>
    <xf numFmtId="0" fontId="18" fillId="0" borderId="1" xfId="0" applyFont="1" applyFill="1" applyBorder="1" applyAlignment="1">
      <alignment/>
    </xf>
    <xf numFmtId="0" fontId="20" fillId="0" borderId="0" xfId="0" applyFont="1" applyFill="1" applyBorder="1" applyAlignment="1">
      <alignment/>
    </xf>
    <xf numFmtId="44" fontId="12" fillId="13" borderId="13" xfId="17" applyFont="1" applyFill="1" applyBorder="1" applyAlignment="1">
      <alignment/>
    </xf>
    <xf numFmtId="44" fontId="18" fillId="2" borderId="13" xfId="17" applyFont="1" applyFill="1" applyBorder="1" applyAlignment="1">
      <alignment/>
    </xf>
    <xf numFmtId="44" fontId="18" fillId="0" borderId="0" xfId="17" applyFont="1" applyFill="1" applyBorder="1" applyAlignment="1">
      <alignment/>
    </xf>
    <xf numFmtId="0" fontId="17" fillId="11" borderId="33" xfId="0" applyFont="1" applyFill="1" applyBorder="1" applyAlignment="1">
      <alignment/>
    </xf>
    <xf numFmtId="0" fontId="17" fillId="11" borderId="34" xfId="0" applyFont="1" applyFill="1" applyBorder="1" applyAlignment="1">
      <alignment/>
    </xf>
    <xf numFmtId="0" fontId="17" fillId="11" borderId="35" xfId="0" applyFont="1" applyFill="1" applyBorder="1" applyAlignment="1">
      <alignment/>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44" fontId="15" fillId="0" borderId="0" xfId="17" applyFont="1" applyAlignment="1">
      <alignment/>
    </xf>
    <xf numFmtId="0" fontId="9" fillId="0" borderId="2" xfId="0" applyFont="1" applyFill="1" applyBorder="1" applyAlignment="1">
      <alignment/>
    </xf>
    <xf numFmtId="44" fontId="9" fillId="0" borderId="3" xfId="17" applyFont="1" applyFill="1" applyBorder="1" applyAlignment="1">
      <alignment/>
    </xf>
    <xf numFmtId="0" fontId="22" fillId="0" borderId="0" xfId="0" applyFont="1" applyFill="1" applyBorder="1" applyAlignment="1">
      <alignment/>
    </xf>
    <xf numFmtId="0" fontId="13" fillId="0" borderId="0" xfId="0" applyFont="1" applyFill="1" applyBorder="1" applyAlignment="1">
      <alignment/>
    </xf>
    <xf numFmtId="0" fontId="15" fillId="5" borderId="33" xfId="0" applyFont="1" applyFill="1" applyBorder="1" applyAlignment="1">
      <alignment/>
    </xf>
    <xf numFmtId="0" fontId="15" fillId="5" borderId="36" xfId="0" applyFont="1" applyFill="1" applyBorder="1" applyAlignment="1">
      <alignment/>
    </xf>
    <xf numFmtId="2" fontId="0" fillId="0" borderId="26" xfId="0" applyNumberFormat="1" applyBorder="1" applyAlignment="1">
      <alignment/>
    </xf>
    <xf numFmtId="0" fontId="0" fillId="0" borderId="9" xfId="0" applyBorder="1" applyAlignment="1">
      <alignment horizontal="center"/>
    </xf>
    <xf numFmtId="0" fontId="0" fillId="0" borderId="25" xfId="0" applyBorder="1" applyAlignment="1">
      <alignment horizontal="center"/>
    </xf>
    <xf numFmtId="0" fontId="0" fillId="0" borderId="37" xfId="0" applyBorder="1" applyAlignment="1">
      <alignment/>
    </xf>
    <xf numFmtId="0" fontId="15" fillId="5" borderId="38" xfId="0" applyFont="1" applyFill="1" applyBorder="1" applyAlignment="1">
      <alignment/>
    </xf>
    <xf numFmtId="0" fontId="15" fillId="5" borderId="34" xfId="0" applyFont="1" applyFill="1" applyBorder="1" applyAlignment="1">
      <alignment/>
    </xf>
    <xf numFmtId="0" fontId="15" fillId="5" borderId="35" xfId="0" applyFont="1" applyFill="1" applyBorder="1" applyAlignment="1">
      <alignment/>
    </xf>
    <xf numFmtId="0" fontId="0" fillId="0" borderId="6" xfId="0" applyBorder="1" applyAlignment="1">
      <alignment horizontal="center"/>
    </xf>
    <xf numFmtId="0" fontId="23" fillId="11" borderId="23" xfId="0" applyFont="1" applyFill="1" applyBorder="1" applyAlignment="1">
      <alignment/>
    </xf>
    <xf numFmtId="0" fontId="23" fillId="11" borderId="13" xfId="0" applyFont="1" applyFill="1" applyBorder="1" applyAlignment="1">
      <alignment/>
    </xf>
    <xf numFmtId="0" fontId="12" fillId="14" borderId="23" xfId="0" applyFont="1" applyFill="1" applyBorder="1" applyAlignment="1">
      <alignment/>
    </xf>
    <xf numFmtId="0" fontId="12" fillId="14" borderId="13" xfId="0" applyFont="1" applyFill="1" applyBorder="1" applyAlignment="1">
      <alignment/>
    </xf>
    <xf numFmtId="0" fontId="10" fillId="4" borderId="13" xfId="0" applyFont="1" applyFill="1" applyBorder="1" applyAlignment="1">
      <alignment/>
    </xf>
    <xf numFmtId="44" fontId="10" fillId="4" borderId="13" xfId="17" applyFont="1" applyFill="1" applyBorder="1" applyAlignment="1">
      <alignment/>
    </xf>
    <xf numFmtId="0" fontId="12" fillId="15" borderId="23" xfId="0" applyFont="1" applyFill="1" applyBorder="1" applyAlignment="1">
      <alignment/>
    </xf>
    <xf numFmtId="0" fontId="12" fillId="15" borderId="13" xfId="0" applyFont="1" applyFill="1" applyBorder="1" applyAlignment="1">
      <alignment/>
    </xf>
    <xf numFmtId="0" fontId="18" fillId="15" borderId="23" xfId="0" applyFont="1" applyFill="1" applyBorder="1" applyAlignment="1">
      <alignment/>
    </xf>
    <xf numFmtId="0" fontId="19" fillId="15" borderId="13" xfId="0" applyFont="1" applyFill="1" applyBorder="1" applyAlignment="1">
      <alignment/>
    </xf>
    <xf numFmtId="0" fontId="12" fillId="16" borderId="23" xfId="0" applyFont="1" applyFill="1" applyBorder="1" applyAlignment="1">
      <alignment/>
    </xf>
    <xf numFmtId="0" fontId="12" fillId="16" borderId="13" xfId="0" applyFont="1" applyFill="1" applyBorder="1" applyAlignment="1">
      <alignment/>
    </xf>
    <xf numFmtId="0" fontId="17" fillId="10" borderId="39" xfId="0" applyFont="1" applyFill="1" applyBorder="1" applyAlignment="1">
      <alignment/>
    </xf>
    <xf numFmtId="0" fontId="15" fillId="9" borderId="39" xfId="0" applyFont="1" applyFill="1" applyBorder="1" applyAlignment="1">
      <alignment/>
    </xf>
    <xf numFmtId="0" fontId="15" fillId="9" borderId="23" xfId="0" applyFont="1" applyFill="1" applyBorder="1" applyAlignment="1">
      <alignment/>
    </xf>
    <xf numFmtId="0" fontId="17" fillId="10" borderId="23" xfId="0" applyFont="1" applyFill="1" applyBorder="1" applyAlignment="1">
      <alignment/>
    </xf>
    <xf numFmtId="0" fontId="17" fillId="11" borderId="40" xfId="0" applyFont="1" applyFill="1" applyBorder="1" applyAlignment="1">
      <alignment/>
    </xf>
    <xf numFmtId="0" fontId="0" fillId="0" borderId="41" xfId="0" applyBorder="1" applyAlignment="1">
      <alignment/>
    </xf>
    <xf numFmtId="0" fontId="15" fillId="4" borderId="35" xfId="0" applyFont="1" applyFill="1" applyBorder="1" applyAlignment="1">
      <alignment/>
    </xf>
    <xf numFmtId="0" fontId="15" fillId="7" borderId="42" xfId="0" applyFont="1" applyFill="1" applyBorder="1" applyAlignment="1">
      <alignment/>
    </xf>
    <xf numFmtId="0" fontId="17" fillId="17" borderId="42" xfId="0" applyFont="1" applyFill="1" applyBorder="1" applyAlignment="1">
      <alignment/>
    </xf>
    <xf numFmtId="0" fontId="15" fillId="4" borderId="42" xfId="0" applyFont="1" applyFill="1" applyBorder="1" applyAlignment="1">
      <alignment/>
    </xf>
    <xf numFmtId="0" fontId="15" fillId="9" borderId="42" xfId="0" applyFont="1" applyFill="1" applyBorder="1" applyAlignment="1">
      <alignment/>
    </xf>
    <xf numFmtId="0" fontId="17" fillId="10" borderId="42" xfId="0" applyFont="1" applyFill="1" applyBorder="1" applyAlignment="1">
      <alignment/>
    </xf>
    <xf numFmtId="0" fontId="15" fillId="7" borderId="34" xfId="0" applyFont="1" applyFill="1" applyBorder="1" applyAlignment="1">
      <alignment/>
    </xf>
    <xf numFmtId="0" fontId="15" fillId="7" borderId="35" xfId="0" applyFont="1" applyFill="1" applyBorder="1" applyAlignment="1">
      <alignment/>
    </xf>
    <xf numFmtId="0" fontId="15" fillId="4" borderId="34" xfId="0" applyFont="1" applyFill="1" applyBorder="1" applyAlignment="1">
      <alignment/>
    </xf>
    <xf numFmtId="0" fontId="17" fillId="17" borderId="34" xfId="0" applyFont="1" applyFill="1" applyBorder="1" applyAlignment="1">
      <alignment/>
    </xf>
    <xf numFmtId="0" fontId="17" fillId="17" borderId="35" xfId="0" applyFont="1" applyFill="1" applyBorder="1" applyAlignment="1">
      <alignment/>
    </xf>
    <xf numFmtId="0" fontId="15" fillId="9" borderId="34" xfId="0" applyFont="1" applyFill="1" applyBorder="1" applyAlignment="1">
      <alignment/>
    </xf>
    <xf numFmtId="0" fontId="15" fillId="9" borderId="35" xfId="0" applyFont="1" applyFill="1" applyBorder="1" applyAlignment="1">
      <alignment/>
    </xf>
    <xf numFmtId="0" fontId="17" fillId="10" borderId="34" xfId="0" applyFont="1" applyFill="1" applyBorder="1" applyAlignment="1">
      <alignment/>
    </xf>
    <xf numFmtId="0" fontId="17" fillId="10" borderId="35" xfId="0" applyFont="1" applyFill="1" applyBorder="1" applyAlignment="1">
      <alignment/>
    </xf>
    <xf numFmtId="0" fontId="22" fillId="18" borderId="13" xfId="0" applyFont="1" applyFill="1" applyBorder="1" applyAlignment="1">
      <alignment/>
    </xf>
    <xf numFmtId="0" fontId="19" fillId="19" borderId="23" xfId="0" applyFont="1" applyFill="1" applyBorder="1" applyAlignment="1">
      <alignment/>
    </xf>
    <xf numFmtId="0" fontId="19" fillId="19" borderId="13" xfId="0" applyFont="1" applyFill="1" applyBorder="1" applyAlignment="1">
      <alignment/>
    </xf>
    <xf numFmtId="44" fontId="11" fillId="0" borderId="0" xfId="17" applyFont="1" applyAlignment="1">
      <alignment/>
    </xf>
    <xf numFmtId="0" fontId="17" fillId="13" borderId="39" xfId="0" applyFont="1" applyFill="1" applyBorder="1" applyAlignment="1">
      <alignment/>
    </xf>
    <xf numFmtId="0" fontId="17" fillId="13" borderId="1" xfId="0" applyFont="1" applyFill="1" applyBorder="1" applyAlignment="1">
      <alignment/>
    </xf>
    <xf numFmtId="44" fontId="17" fillId="13" borderId="10" xfId="17" applyFont="1" applyFill="1" applyBorder="1" applyAlignment="1">
      <alignment/>
    </xf>
    <xf numFmtId="0" fontId="17" fillId="13" borderId="2" xfId="0" applyFont="1" applyFill="1" applyBorder="1" applyAlignment="1">
      <alignment/>
    </xf>
    <xf numFmtId="0" fontId="17" fillId="13" borderId="0" xfId="0" applyFont="1" applyFill="1" applyBorder="1" applyAlignment="1">
      <alignment/>
    </xf>
    <xf numFmtId="44" fontId="17" fillId="13" borderId="3" xfId="17" applyFont="1" applyFill="1" applyBorder="1" applyAlignment="1">
      <alignment/>
    </xf>
    <xf numFmtId="44" fontId="0" fillId="0" borderId="0" xfId="17" applyFont="1" applyAlignment="1">
      <alignment/>
    </xf>
    <xf numFmtId="44" fontId="0" fillId="0" borderId="0" xfId="17" applyFont="1" applyAlignment="1">
      <alignment/>
    </xf>
    <xf numFmtId="0" fontId="9" fillId="5" borderId="43" xfId="0" applyFont="1" applyFill="1" applyBorder="1" applyAlignment="1">
      <alignment/>
    </xf>
    <xf numFmtId="0" fontId="9" fillId="5" borderId="33" xfId="0" applyFont="1" applyFill="1" applyBorder="1" applyAlignment="1">
      <alignment/>
    </xf>
    <xf numFmtId="0" fontId="9" fillId="5" borderId="15" xfId="0" applyFont="1" applyFill="1" applyBorder="1" applyAlignment="1">
      <alignment/>
    </xf>
    <xf numFmtId="0" fontId="0" fillId="0" borderId="21" xfId="0" applyFont="1" applyBorder="1" applyAlignment="1">
      <alignment/>
    </xf>
    <xf numFmtId="0" fontId="0" fillId="0" borderId="44" xfId="0" applyFont="1" applyBorder="1" applyAlignment="1">
      <alignment/>
    </xf>
    <xf numFmtId="0" fontId="0" fillId="0" borderId="45" xfId="0" applyFont="1" applyBorder="1" applyAlignment="1">
      <alignment horizontal="left"/>
    </xf>
    <xf numFmtId="0" fontId="0" fillId="0" borderId="21" xfId="0" applyFont="1" applyBorder="1" applyAlignment="1">
      <alignment horizontal="left"/>
    </xf>
    <xf numFmtId="0" fontId="0" fillId="0" borderId="18" xfId="0" applyFont="1" applyBorder="1" applyAlignment="1">
      <alignment/>
    </xf>
    <xf numFmtId="0" fontId="0" fillId="0" borderId="19" xfId="0" applyFont="1" applyBorder="1" applyAlignment="1">
      <alignment/>
    </xf>
    <xf numFmtId="0" fontId="0" fillId="0" borderId="46" xfId="0" applyFont="1" applyBorder="1" applyAlignment="1">
      <alignment/>
    </xf>
    <xf numFmtId="0" fontId="0" fillId="0" borderId="47" xfId="0" applyFont="1" applyBorder="1" applyAlignment="1">
      <alignment/>
    </xf>
    <xf numFmtId="0" fontId="0" fillId="0" borderId="46" xfId="0" applyFont="1" applyBorder="1" applyAlignment="1">
      <alignment horizontal="left"/>
    </xf>
    <xf numFmtId="0" fontId="0" fillId="0" borderId="29" xfId="0" applyFont="1" applyBorder="1" applyAlignment="1">
      <alignment/>
    </xf>
    <xf numFmtId="0" fontId="0" fillId="0" borderId="0" xfId="0" applyFont="1" applyBorder="1" applyAlignment="1">
      <alignment horizontal="left"/>
    </xf>
    <xf numFmtId="0" fontId="0" fillId="6" borderId="13" xfId="0" applyFont="1" applyFill="1" applyBorder="1" applyAlignment="1">
      <alignment/>
    </xf>
    <xf numFmtId="0" fontId="0" fillId="6" borderId="13" xfId="0" applyFont="1" applyFill="1" applyBorder="1" applyAlignment="1">
      <alignment horizontal="left"/>
    </xf>
    <xf numFmtId="44" fontId="0" fillId="6" borderId="13" xfId="17" applyFont="1" applyFill="1" applyBorder="1" applyAlignment="1">
      <alignment/>
    </xf>
    <xf numFmtId="0" fontId="21" fillId="11" borderId="40" xfId="0" applyFont="1" applyFill="1" applyBorder="1" applyAlignment="1">
      <alignment/>
    </xf>
    <xf numFmtId="0" fontId="16" fillId="11" borderId="33" xfId="0" applyFont="1" applyFill="1" applyBorder="1" applyAlignment="1">
      <alignment/>
    </xf>
    <xf numFmtId="44" fontId="0" fillId="0" borderId="10" xfId="17" applyFont="1" applyBorder="1" applyAlignment="1">
      <alignment/>
    </xf>
    <xf numFmtId="44" fontId="0" fillId="0" borderId="3" xfId="17" applyFont="1" applyBorder="1" applyAlignment="1">
      <alignment/>
    </xf>
    <xf numFmtId="0" fontId="9" fillId="19" borderId="22" xfId="0" applyFont="1" applyFill="1" applyBorder="1" applyAlignment="1">
      <alignment/>
    </xf>
    <xf numFmtId="0" fontId="9" fillId="19" borderId="7" xfId="0" applyFont="1" applyFill="1" applyBorder="1" applyAlignment="1">
      <alignment/>
    </xf>
    <xf numFmtId="44" fontId="9" fillId="19" borderId="16" xfId="17" applyFont="1" applyFill="1" applyBorder="1" applyAlignment="1">
      <alignment/>
    </xf>
    <xf numFmtId="0" fontId="11" fillId="8" borderId="11" xfId="0" applyFont="1" applyFill="1" applyBorder="1" applyAlignment="1">
      <alignment/>
    </xf>
    <xf numFmtId="0" fontId="11" fillId="8" borderId="48" xfId="0" applyFont="1" applyFill="1" applyBorder="1" applyAlignment="1">
      <alignment/>
    </xf>
    <xf numFmtId="0" fontId="11" fillId="8" borderId="9" xfId="0" applyFont="1" applyFill="1" applyBorder="1" applyAlignment="1">
      <alignment/>
    </xf>
    <xf numFmtId="44" fontId="11" fillId="8" borderId="12" xfId="17" applyFont="1" applyFill="1" applyBorder="1" applyAlignment="1">
      <alignment/>
    </xf>
    <xf numFmtId="0" fontId="0" fillId="0" borderId="11" xfId="0" applyFont="1" applyBorder="1" applyAlignment="1">
      <alignment/>
    </xf>
    <xf numFmtId="0" fontId="0" fillId="0" borderId="48"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0" borderId="9" xfId="0" applyFont="1" applyBorder="1" applyAlignment="1">
      <alignment/>
    </xf>
    <xf numFmtId="44" fontId="0" fillId="0" borderId="12" xfId="17"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0" fillId="0" borderId="52" xfId="0" applyFont="1" applyBorder="1" applyAlignment="1">
      <alignment/>
    </xf>
    <xf numFmtId="0" fontId="0" fillId="0" borderId="53" xfId="0" applyFont="1" applyBorder="1" applyAlignment="1">
      <alignment/>
    </xf>
    <xf numFmtId="44" fontId="0" fillId="0" borderId="54" xfId="17" applyFont="1" applyBorder="1" applyAlignment="1">
      <alignment/>
    </xf>
    <xf numFmtId="0" fontId="0" fillId="0" borderId="45" xfId="0" applyFont="1" applyBorder="1" applyAlignment="1">
      <alignment/>
    </xf>
    <xf numFmtId="1" fontId="0" fillId="0" borderId="55" xfId="0" applyNumberFormat="1" applyFont="1" applyBorder="1" applyAlignment="1">
      <alignment/>
    </xf>
    <xf numFmtId="44" fontId="0" fillId="0" borderId="29" xfId="17" applyFont="1" applyBorder="1" applyAlignment="1">
      <alignment/>
    </xf>
    <xf numFmtId="44" fontId="0" fillId="0" borderId="0" xfId="17" applyFont="1" applyBorder="1" applyAlignment="1">
      <alignment/>
    </xf>
    <xf numFmtId="0" fontId="0" fillId="0" borderId="22" xfId="0" applyFont="1" applyBorder="1" applyAlignment="1">
      <alignment/>
    </xf>
    <xf numFmtId="1" fontId="0" fillId="0" borderId="9" xfId="0" applyNumberFormat="1" applyFont="1" applyBorder="1" applyAlignment="1">
      <alignment/>
    </xf>
    <xf numFmtId="0" fontId="0" fillId="0" borderId="56" xfId="0" applyFont="1" applyBorder="1" applyAlignment="1">
      <alignment/>
    </xf>
    <xf numFmtId="0" fontId="0" fillId="0" borderId="0" xfId="0" applyFont="1" applyFill="1" applyAlignment="1">
      <alignment/>
    </xf>
    <xf numFmtId="0" fontId="0" fillId="0" borderId="9" xfId="0" applyFont="1" applyBorder="1" applyAlignment="1">
      <alignment horizontal="left"/>
    </xf>
    <xf numFmtId="0" fontId="0" fillId="0" borderId="12" xfId="0" applyFont="1" applyBorder="1" applyAlignment="1">
      <alignment/>
    </xf>
    <xf numFmtId="200" fontId="0" fillId="0" borderId="12" xfId="0" applyNumberFormat="1" applyFont="1" applyBorder="1" applyAlignment="1">
      <alignment/>
    </xf>
    <xf numFmtId="0" fontId="0" fillId="0" borderId="24" xfId="0" applyFont="1" applyBorder="1" applyAlignment="1">
      <alignment/>
    </xf>
    <xf numFmtId="0" fontId="0" fillId="0" borderId="27" xfId="0" applyFont="1" applyBorder="1" applyAlignment="1">
      <alignment/>
    </xf>
    <xf numFmtId="0" fontId="0" fillId="0" borderId="25" xfId="0" applyFont="1" applyBorder="1" applyAlignment="1">
      <alignment horizontal="left"/>
    </xf>
    <xf numFmtId="0" fontId="0" fillId="0" borderId="26" xfId="0" applyFont="1" applyBorder="1" applyAlignment="1">
      <alignment/>
    </xf>
    <xf numFmtId="0" fontId="9" fillId="3" borderId="43" xfId="0" applyFont="1" applyFill="1" applyBorder="1" applyAlignment="1">
      <alignment/>
    </xf>
    <xf numFmtId="0" fontId="9" fillId="4" borderId="22" xfId="0" applyFont="1" applyFill="1" applyBorder="1" applyAlignment="1">
      <alignment/>
    </xf>
    <xf numFmtId="0" fontId="9" fillId="4" borderId="8" xfId="0" applyFont="1" applyFill="1" applyBorder="1" applyAlignment="1">
      <alignment/>
    </xf>
    <xf numFmtId="0" fontId="9" fillId="4" borderId="7" xfId="0" applyFont="1" applyFill="1" applyBorder="1" applyAlignment="1">
      <alignment/>
    </xf>
    <xf numFmtId="0" fontId="0" fillId="0" borderId="20" xfId="0" applyFont="1" applyBorder="1" applyAlignment="1">
      <alignment/>
    </xf>
    <xf numFmtId="0" fontId="0" fillId="0" borderId="4" xfId="0" applyFont="1" applyBorder="1" applyAlignment="1">
      <alignment/>
    </xf>
    <xf numFmtId="0" fontId="0" fillId="0" borderId="5" xfId="0" applyFont="1" applyBorder="1" applyAlignment="1">
      <alignment/>
    </xf>
    <xf numFmtId="0" fontId="9" fillId="3" borderId="23" xfId="0" applyFont="1" applyFill="1" applyBorder="1" applyAlignment="1">
      <alignment/>
    </xf>
    <xf numFmtId="0" fontId="16" fillId="11" borderId="28" xfId="0" applyFont="1" applyFill="1" applyBorder="1" applyAlignment="1">
      <alignment/>
    </xf>
    <xf numFmtId="0" fontId="9" fillId="4" borderId="57" xfId="0" applyFont="1" applyFill="1" applyBorder="1" applyAlignment="1">
      <alignment/>
    </xf>
    <xf numFmtId="44" fontId="9" fillId="4" borderId="16" xfId="17" applyFont="1" applyFill="1" applyBorder="1" applyAlignment="1">
      <alignment/>
    </xf>
    <xf numFmtId="0" fontId="9" fillId="4" borderId="16" xfId="0" applyFont="1" applyFill="1" applyBorder="1" applyAlignment="1">
      <alignment/>
    </xf>
    <xf numFmtId="0" fontId="11" fillId="2" borderId="22" xfId="0" applyFont="1" applyFill="1" applyBorder="1" applyAlignment="1">
      <alignment/>
    </xf>
    <xf numFmtId="0" fontId="11" fillId="2" borderId="48" xfId="0" applyFont="1" applyFill="1" applyBorder="1" applyAlignment="1">
      <alignment/>
    </xf>
    <xf numFmtId="0" fontId="11" fillId="2" borderId="7" xfId="0" applyFont="1" applyFill="1" applyBorder="1" applyAlignment="1">
      <alignment/>
    </xf>
    <xf numFmtId="0" fontId="11" fillId="2" borderId="8" xfId="0" applyFont="1" applyFill="1" applyBorder="1" applyAlignment="1">
      <alignment/>
    </xf>
    <xf numFmtId="0" fontId="11" fillId="2" borderId="9" xfId="0" applyFont="1" applyFill="1" applyBorder="1" applyAlignment="1">
      <alignment/>
    </xf>
    <xf numFmtId="44" fontId="11" fillId="2" borderId="12" xfId="17" applyFont="1" applyFill="1" applyBorder="1" applyAlignment="1">
      <alignment/>
    </xf>
    <xf numFmtId="0" fontId="11" fillId="2" borderId="11" xfId="0" applyFont="1" applyFill="1" applyBorder="1" applyAlignment="1">
      <alignment/>
    </xf>
    <xf numFmtId="0" fontId="11" fillId="2" borderId="12" xfId="0" applyFont="1" applyFill="1" applyBorder="1" applyAlignment="1">
      <alignment/>
    </xf>
    <xf numFmtId="0" fontId="9" fillId="2" borderId="22" xfId="0" applyFont="1" applyFill="1" applyBorder="1" applyAlignment="1">
      <alignment/>
    </xf>
    <xf numFmtId="0" fontId="0" fillId="0" borderId="21" xfId="0" applyFont="1" applyFill="1" applyBorder="1" applyAlignment="1">
      <alignment/>
    </xf>
    <xf numFmtId="0" fontId="18" fillId="12" borderId="13" xfId="0" applyFont="1" applyFill="1" applyBorder="1" applyAlignment="1">
      <alignment/>
    </xf>
    <xf numFmtId="0" fontId="0" fillId="0" borderId="0" xfId="0" applyFont="1" applyFill="1" applyBorder="1" applyAlignment="1">
      <alignment/>
    </xf>
    <xf numFmtId="0" fontId="9" fillId="0" borderId="19" xfId="0" applyFont="1" applyFill="1" applyBorder="1" applyAlignment="1">
      <alignment/>
    </xf>
    <xf numFmtId="0" fontId="0" fillId="0" borderId="0" xfId="0" applyFont="1" applyFill="1" applyBorder="1" applyAlignment="1">
      <alignment/>
    </xf>
    <xf numFmtId="0" fontId="15" fillId="5" borderId="2" xfId="0" applyFont="1" applyFill="1" applyBorder="1" applyAlignment="1">
      <alignment/>
    </xf>
    <xf numFmtId="0" fontId="0" fillId="0" borderId="58" xfId="0" applyFont="1" applyBorder="1" applyAlignment="1">
      <alignment/>
    </xf>
    <xf numFmtId="0" fontId="0" fillId="0" borderId="57" xfId="0" applyFont="1" applyBorder="1" applyAlignment="1">
      <alignment/>
    </xf>
    <xf numFmtId="0" fontId="18" fillId="15" borderId="13" xfId="0" applyFont="1" applyFill="1" applyBorder="1" applyAlignment="1">
      <alignment/>
    </xf>
    <xf numFmtId="0" fontId="15" fillId="9" borderId="1" xfId="0" applyFont="1" applyFill="1" applyBorder="1" applyAlignment="1">
      <alignment/>
    </xf>
    <xf numFmtId="0" fontId="15" fillId="9" borderId="33" xfId="0" applyFont="1" applyFill="1" applyBorder="1" applyAlignment="1">
      <alignment/>
    </xf>
    <xf numFmtId="0" fontId="15" fillId="9" borderId="36" xfId="0" applyFont="1" applyFill="1" applyBorder="1" applyAlignment="1">
      <alignment/>
    </xf>
    <xf numFmtId="0" fontId="17" fillId="10" borderId="1" xfId="0" applyFont="1" applyFill="1" applyBorder="1" applyAlignment="1">
      <alignment/>
    </xf>
    <xf numFmtId="0" fontId="17" fillId="10" borderId="33" xfId="0" applyFont="1" applyFill="1" applyBorder="1" applyAlignment="1">
      <alignment/>
    </xf>
    <xf numFmtId="0" fontId="17" fillId="10" borderId="36" xfId="0" applyFont="1" applyFill="1" applyBorder="1" applyAlignment="1">
      <alignment/>
    </xf>
    <xf numFmtId="0" fontId="0" fillId="0" borderId="9" xfId="0" applyFont="1" applyFill="1" applyBorder="1" applyAlignment="1">
      <alignment/>
    </xf>
    <xf numFmtId="0" fontId="0" fillId="0" borderId="31" xfId="0" applyFont="1" applyBorder="1" applyAlignment="1">
      <alignment/>
    </xf>
    <xf numFmtId="0" fontId="0" fillId="0" borderId="32" xfId="0" applyFont="1" applyBorder="1" applyAlignment="1">
      <alignment/>
    </xf>
    <xf numFmtId="0" fontId="0" fillId="0" borderId="25" xfId="0" applyFont="1" applyBorder="1" applyAlignment="1">
      <alignment/>
    </xf>
    <xf numFmtId="0" fontId="11" fillId="0" borderId="2" xfId="0" applyFont="1" applyFill="1" applyBorder="1" applyAlignment="1">
      <alignment/>
    </xf>
    <xf numFmtId="0" fontId="0" fillId="0" borderId="3" xfId="0" applyFont="1" applyFill="1" applyBorder="1" applyAlignment="1">
      <alignment/>
    </xf>
    <xf numFmtId="0" fontId="14" fillId="0" borderId="2" xfId="0" applyFont="1" applyFill="1" applyBorder="1" applyAlignment="1">
      <alignment/>
    </xf>
    <xf numFmtId="0" fontId="17" fillId="11" borderId="42" xfId="0" applyFont="1" applyFill="1" applyBorder="1" applyAlignment="1">
      <alignment/>
    </xf>
    <xf numFmtId="0" fontId="17" fillId="20" borderId="22" xfId="0" applyFont="1" applyFill="1" applyBorder="1" applyAlignment="1">
      <alignment/>
    </xf>
    <xf numFmtId="0" fontId="17" fillId="20" borderId="7" xfId="0" applyFont="1" applyFill="1" applyBorder="1" applyAlignment="1">
      <alignment/>
    </xf>
    <xf numFmtId="0" fontId="15" fillId="20" borderId="7" xfId="0" applyFont="1" applyFill="1" applyBorder="1" applyAlignment="1">
      <alignment/>
    </xf>
    <xf numFmtId="44" fontId="15" fillId="20" borderId="16" xfId="17" applyFont="1" applyFill="1" applyBorder="1" applyAlignment="1">
      <alignment/>
    </xf>
    <xf numFmtId="44" fontId="15" fillId="0" borderId="21" xfId="17" applyFont="1" applyFill="1" applyBorder="1" applyAlignment="1">
      <alignment/>
    </xf>
    <xf numFmtId="0" fontId="11" fillId="12" borderId="11" xfId="0" applyFont="1" applyFill="1" applyBorder="1" applyAlignment="1">
      <alignment/>
    </xf>
    <xf numFmtId="0" fontId="11" fillId="12" borderId="48" xfId="0" applyFont="1" applyFill="1" applyBorder="1" applyAlignment="1">
      <alignment/>
    </xf>
    <xf numFmtId="0" fontId="11" fillId="12" borderId="7" xfId="0" applyFont="1" applyFill="1" applyBorder="1" applyAlignment="1">
      <alignment/>
    </xf>
    <xf numFmtId="0" fontId="11" fillId="12" borderId="8" xfId="0" applyFont="1" applyFill="1" applyBorder="1" applyAlignment="1">
      <alignment/>
    </xf>
    <xf numFmtId="0" fontId="11" fillId="12" borderId="9" xfId="0" applyFont="1" applyFill="1" applyBorder="1" applyAlignment="1">
      <alignment/>
    </xf>
    <xf numFmtId="44" fontId="11" fillId="12" borderId="12" xfId="17" applyFont="1" applyFill="1" applyBorder="1" applyAlignment="1">
      <alignment/>
    </xf>
    <xf numFmtId="44" fontId="11" fillId="0" borderId="21" xfId="17" applyFont="1" applyFill="1" applyBorder="1" applyAlignment="1">
      <alignment/>
    </xf>
    <xf numFmtId="44" fontId="0" fillId="0" borderId="21" xfId="17" applyFont="1" applyFill="1" applyBorder="1" applyAlignment="1">
      <alignment/>
    </xf>
    <xf numFmtId="0" fontId="0" fillId="0" borderId="59" xfId="0" applyFont="1" applyBorder="1" applyAlignment="1">
      <alignment/>
    </xf>
    <xf numFmtId="0" fontId="0" fillId="0" borderId="60" xfId="0" applyFont="1" applyBorder="1" applyAlignment="1">
      <alignment/>
    </xf>
    <xf numFmtId="0" fontId="0" fillId="0" borderId="61" xfId="0" applyFont="1" applyFill="1" applyBorder="1" applyAlignment="1">
      <alignment/>
    </xf>
    <xf numFmtId="0" fontId="0" fillId="0" borderId="62" xfId="0" applyFont="1" applyBorder="1" applyAlignment="1">
      <alignment/>
    </xf>
    <xf numFmtId="0" fontId="0" fillId="0" borderId="63" xfId="0" applyFont="1" applyBorder="1" applyAlignment="1">
      <alignment/>
    </xf>
    <xf numFmtId="0" fontId="9" fillId="20" borderId="7" xfId="0" applyFont="1" applyFill="1" applyBorder="1" applyAlignment="1">
      <alignment/>
    </xf>
    <xf numFmtId="44" fontId="9" fillId="20" borderId="16" xfId="17" applyFont="1" applyFill="1" applyBorder="1" applyAlignment="1">
      <alignment/>
    </xf>
    <xf numFmtId="0" fontId="0" fillId="0" borderId="0" xfId="0" applyFont="1" applyAlignment="1">
      <alignment/>
    </xf>
    <xf numFmtId="0" fontId="7" fillId="5" borderId="39" xfId="0" applyFont="1" applyFill="1" applyBorder="1" applyAlignment="1">
      <alignment/>
    </xf>
    <xf numFmtId="0" fontId="7" fillId="5" borderId="1" xfId="0" applyFont="1" applyFill="1" applyBorder="1" applyAlignment="1">
      <alignment/>
    </xf>
    <xf numFmtId="0" fontId="7" fillId="5" borderId="36" xfId="0" applyFont="1" applyFill="1" applyBorder="1" applyAlignment="1">
      <alignment/>
    </xf>
    <xf numFmtId="0" fontId="0" fillId="0" borderId="7" xfId="0" applyFont="1" applyBorder="1" applyAlignment="1">
      <alignment horizontal="left"/>
    </xf>
    <xf numFmtId="0" fontId="0" fillId="0" borderId="32" xfId="0" applyFont="1" applyBorder="1" applyAlignment="1">
      <alignment horizontal="left"/>
    </xf>
    <xf numFmtId="0" fontId="0" fillId="2" borderId="11" xfId="0" applyFont="1" applyFill="1" applyBorder="1" applyAlignment="1">
      <alignment/>
    </xf>
    <xf numFmtId="0" fontId="0" fillId="2" borderId="4" xfId="0" applyFont="1" applyFill="1" applyBorder="1" applyAlignment="1">
      <alignment/>
    </xf>
    <xf numFmtId="0" fontId="0" fillId="2" borderId="9" xfId="0" applyFont="1" applyFill="1" applyBorder="1" applyAlignment="1">
      <alignment/>
    </xf>
    <xf numFmtId="44" fontId="0" fillId="2" borderId="12" xfId="17" applyFont="1" applyFill="1" applyBorder="1" applyAlignment="1">
      <alignment/>
    </xf>
    <xf numFmtId="0" fontId="0" fillId="0" borderId="9" xfId="0" applyFont="1" applyBorder="1" applyAlignment="1">
      <alignment horizontal="right"/>
    </xf>
    <xf numFmtId="44" fontId="0" fillId="0" borderId="64" xfId="17" applyFont="1" applyBorder="1" applyAlignment="1">
      <alignment/>
    </xf>
    <xf numFmtId="0" fontId="0" fillId="0" borderId="8" xfId="0" applyFont="1" applyBorder="1" applyAlignment="1">
      <alignment horizontal="left"/>
    </xf>
    <xf numFmtId="0" fontId="12" fillId="18" borderId="23" xfId="0" applyFont="1" applyFill="1" applyBorder="1" applyAlignment="1">
      <alignment/>
    </xf>
    <xf numFmtId="0" fontId="0" fillId="0" borderId="0" xfId="0" applyFill="1" applyBorder="1" applyAlignment="1">
      <alignment/>
    </xf>
    <xf numFmtId="164" fontId="0" fillId="0" borderId="0" xfId="0" applyNumberFormat="1" applyAlignment="1">
      <alignment/>
    </xf>
    <xf numFmtId="0" fontId="0" fillId="0" borderId="18" xfId="0" applyBorder="1" applyAlignment="1">
      <alignment/>
    </xf>
    <xf numFmtId="0" fontId="0" fillId="0" borderId="29" xfId="0" applyBorder="1" applyAlignment="1">
      <alignment/>
    </xf>
    <xf numFmtId="0" fontId="0" fillId="0" borderId="18" xfId="0" applyFill="1" applyBorder="1" applyAlignment="1">
      <alignment/>
    </xf>
    <xf numFmtId="0" fontId="9" fillId="5" borderId="28" xfId="0" applyFont="1" applyFill="1" applyBorder="1" applyAlignment="1">
      <alignment/>
    </xf>
    <xf numFmtId="164" fontId="1" fillId="0" borderId="0" xfId="0" applyNumberFormat="1" applyFont="1" applyAlignment="1">
      <alignment/>
    </xf>
    <xf numFmtId="0" fontId="13" fillId="21" borderId="23" xfId="0" applyFont="1" applyFill="1" applyBorder="1" applyAlignment="1">
      <alignment/>
    </xf>
    <xf numFmtId="0" fontId="6" fillId="21" borderId="13" xfId="0" applyFont="1" applyFill="1" applyBorder="1" applyAlignment="1">
      <alignment/>
    </xf>
    <xf numFmtId="3" fontId="0" fillId="0" borderId="9" xfId="0" applyNumberFormat="1" applyBorder="1" applyAlignment="1">
      <alignment/>
    </xf>
    <xf numFmtId="3" fontId="0" fillId="0" borderId="6" xfId="0" applyNumberFormat="1" applyBorder="1" applyAlignment="1">
      <alignment/>
    </xf>
    <xf numFmtId="3" fontId="0" fillId="0" borderId="37" xfId="0" applyNumberFormat="1" applyBorder="1" applyAlignment="1">
      <alignment/>
    </xf>
    <xf numFmtId="3" fontId="0" fillId="0" borderId="12" xfId="0" applyNumberFormat="1" applyBorder="1" applyAlignment="1">
      <alignment/>
    </xf>
    <xf numFmtId="3" fontId="0" fillId="0" borderId="25" xfId="0" applyNumberFormat="1" applyBorder="1" applyAlignment="1">
      <alignment/>
    </xf>
    <xf numFmtId="3" fontId="0" fillId="0" borderId="26" xfId="0" applyNumberFormat="1" applyBorder="1" applyAlignment="1">
      <alignment/>
    </xf>
    <xf numFmtId="203" fontId="0" fillId="0" borderId="9" xfId="0" applyNumberFormat="1" applyBorder="1" applyAlignment="1">
      <alignment/>
    </xf>
    <xf numFmtId="0" fontId="0" fillId="0" borderId="21" xfId="0" applyBorder="1" applyAlignment="1">
      <alignment/>
    </xf>
    <xf numFmtId="203" fontId="0" fillId="0" borderId="0" xfId="0" applyNumberFormat="1" applyBorder="1" applyAlignment="1">
      <alignment/>
    </xf>
    <xf numFmtId="0" fontId="0" fillId="0" borderId="19" xfId="0" applyBorder="1" applyAlignment="1">
      <alignment/>
    </xf>
    <xf numFmtId="203" fontId="0" fillId="0" borderId="6" xfId="0" applyNumberFormat="1" applyBorder="1" applyAlignment="1">
      <alignment/>
    </xf>
    <xf numFmtId="0" fontId="13" fillId="21" borderId="13" xfId="0" applyFont="1" applyFill="1" applyBorder="1" applyAlignment="1">
      <alignment/>
    </xf>
    <xf numFmtId="0" fontId="0" fillId="21" borderId="17" xfId="0" applyFill="1" applyBorder="1" applyAlignment="1">
      <alignment/>
    </xf>
    <xf numFmtId="164" fontId="0" fillId="0" borderId="0" xfId="0" applyNumberFormat="1" applyFill="1" applyBorder="1" applyAlignment="1">
      <alignment/>
    </xf>
    <xf numFmtId="203" fontId="0" fillId="0" borderId="37" xfId="0" applyNumberFormat="1" applyBorder="1" applyAlignment="1">
      <alignment/>
    </xf>
    <xf numFmtId="203" fontId="0" fillId="0" borderId="12" xfId="0" applyNumberFormat="1" applyBorder="1" applyAlignment="1">
      <alignment/>
    </xf>
    <xf numFmtId="203" fontId="0" fillId="0" borderId="32" xfId="0" applyNumberFormat="1" applyBorder="1" applyAlignment="1">
      <alignment/>
    </xf>
    <xf numFmtId="0" fontId="0" fillId="0" borderId="39" xfId="0" applyBorder="1" applyAlignment="1">
      <alignment/>
    </xf>
    <xf numFmtId="203" fontId="0" fillId="0" borderId="1" xfId="0" applyNumberFormat="1" applyBorder="1" applyAlignment="1">
      <alignment/>
    </xf>
    <xf numFmtId="164" fontId="0" fillId="0" borderId="63" xfId="0" applyNumberFormat="1" applyBorder="1" applyAlignment="1">
      <alignment/>
    </xf>
    <xf numFmtId="0" fontId="0" fillId="21" borderId="13" xfId="0" applyFill="1" applyBorder="1" applyAlignment="1">
      <alignment/>
    </xf>
    <xf numFmtId="203" fontId="0" fillId="21" borderId="13" xfId="0" applyNumberFormat="1" applyFill="1" applyBorder="1" applyAlignment="1">
      <alignment/>
    </xf>
    <xf numFmtId="164" fontId="0" fillId="0" borderId="65" xfId="0" applyNumberFormat="1" applyBorder="1" applyAlignment="1">
      <alignment/>
    </xf>
    <xf numFmtId="203" fontId="0" fillId="0" borderId="26" xfId="0" applyNumberFormat="1" applyBorder="1" applyAlignment="1">
      <alignment/>
    </xf>
    <xf numFmtId="0" fontId="24" fillId="0" borderId="0"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1" xfId="0" applyFont="1" applyFill="1" applyBorder="1" applyAlignment="1">
      <alignment horizontal="left"/>
    </xf>
    <xf numFmtId="0" fontId="10" fillId="0" borderId="10" xfId="0" applyFont="1" applyFill="1" applyBorder="1" applyAlignment="1">
      <alignment horizontal="left"/>
    </xf>
    <xf numFmtId="0" fontId="6" fillId="0" borderId="66" xfId="0" applyFont="1" applyFill="1" applyBorder="1" applyAlignment="1">
      <alignment horizontal="left"/>
    </xf>
    <xf numFmtId="0" fontId="6" fillId="0" borderId="67" xfId="0" applyFont="1" applyFill="1" applyBorder="1" applyAlignment="1">
      <alignment horizontal="left"/>
    </xf>
    <xf numFmtId="0" fontId="0" fillId="0" borderId="0" xfId="0" applyFont="1" applyFill="1" applyBorder="1" applyAlignment="1">
      <alignment wrapText="1"/>
    </xf>
    <xf numFmtId="0" fontId="0" fillId="0" borderId="3" xfId="0" applyFont="1" applyFill="1" applyBorder="1" applyAlignment="1">
      <alignment wrapText="1"/>
    </xf>
    <xf numFmtId="0" fontId="25" fillId="0" borderId="0" xfId="0" applyFont="1" applyFill="1" applyBorder="1" applyAlignment="1">
      <alignment wrapText="1"/>
    </xf>
    <xf numFmtId="0" fontId="6" fillId="0" borderId="18" xfId="0" applyFont="1" applyFill="1" applyBorder="1" applyAlignment="1">
      <alignment horizontal="right" vertical="center"/>
    </xf>
    <xf numFmtId="0" fontId="6" fillId="0" borderId="19" xfId="0" applyFont="1" applyFill="1" applyBorder="1" applyAlignment="1">
      <alignment vertical="center"/>
    </xf>
    <xf numFmtId="0" fontId="6" fillId="0" borderId="29" xfId="0" applyFont="1" applyFill="1" applyBorder="1" applyAlignment="1">
      <alignment vertical="center"/>
    </xf>
    <xf numFmtId="0" fontId="26" fillId="0" borderId="0" xfId="0" applyFont="1" applyFill="1" applyAlignment="1">
      <alignment/>
    </xf>
    <xf numFmtId="0" fontId="26" fillId="0" borderId="0" xfId="0" applyFont="1" applyFill="1" applyAlignment="1">
      <alignment wrapText="1"/>
    </xf>
    <xf numFmtId="0" fontId="7" fillId="0" borderId="39" xfId="0" applyFont="1" applyFill="1" applyBorder="1" applyAlignment="1">
      <alignment horizontal="left"/>
    </xf>
    <xf numFmtId="0" fontId="7" fillId="0" borderId="1" xfId="0" applyFont="1" applyFill="1" applyBorder="1" applyAlignment="1">
      <alignment horizontal="left"/>
    </xf>
    <xf numFmtId="0" fontId="7" fillId="0" borderId="10" xfId="0" applyFont="1" applyFill="1" applyBorder="1" applyAlignment="1">
      <alignment horizontal="left"/>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9" xfId="0" applyFont="1" applyFill="1" applyBorder="1" applyAlignment="1">
      <alignment horizontal="left" vertical="center"/>
    </xf>
    <xf numFmtId="0" fontId="0" fillId="0" borderId="1" xfId="0" applyFont="1" applyFill="1" applyBorder="1" applyAlignment="1">
      <alignment horizontal="left"/>
    </xf>
    <xf numFmtId="0" fontId="7" fillId="0" borderId="2" xfId="0" applyFont="1" applyFill="1" applyBorder="1" applyAlignment="1">
      <alignment horizontal="left"/>
    </xf>
    <xf numFmtId="0" fontId="7" fillId="0" borderId="0" xfId="0" applyFont="1" applyFill="1" applyBorder="1" applyAlignment="1">
      <alignment horizontal="left"/>
    </xf>
    <xf numFmtId="0" fontId="0" fillId="0" borderId="0" xfId="0" applyFont="1" applyFill="1" applyBorder="1" applyAlignment="1">
      <alignment horizontal="left"/>
    </xf>
    <xf numFmtId="0" fontId="7" fillId="0" borderId="3" xfId="0" applyFont="1" applyFill="1" applyBorder="1" applyAlignment="1">
      <alignment horizontal="left"/>
    </xf>
    <xf numFmtId="0" fontId="26" fillId="0" borderId="2" xfId="0" applyFont="1" applyFill="1" applyBorder="1" applyAlignment="1">
      <alignment vertical="top"/>
    </xf>
    <xf numFmtId="0" fontId="7" fillId="0" borderId="0" xfId="0" applyFont="1" applyFill="1" applyBorder="1" applyAlignment="1">
      <alignment vertical="top"/>
    </xf>
    <xf numFmtId="0" fontId="26" fillId="0" borderId="18" xfId="0" applyFont="1" applyFill="1" applyBorder="1" applyAlignment="1">
      <alignment vertical="center"/>
    </xf>
    <xf numFmtId="0" fontId="26" fillId="0" borderId="19" xfId="0" applyFont="1" applyFill="1" applyBorder="1" applyAlignment="1">
      <alignment vertical="center"/>
    </xf>
    <xf numFmtId="0" fontId="26" fillId="0" borderId="19" xfId="0" applyFont="1" applyFill="1" applyBorder="1" applyAlignment="1">
      <alignment vertical="center" wrapText="1"/>
    </xf>
    <xf numFmtId="0" fontId="26" fillId="0" borderId="29" xfId="0" applyFont="1" applyFill="1" applyBorder="1" applyAlignment="1">
      <alignment vertical="center"/>
    </xf>
    <xf numFmtId="0" fontId="26" fillId="0" borderId="0" xfId="0" applyFont="1" applyAlignment="1">
      <alignment/>
    </xf>
    <xf numFmtId="0" fontId="26" fillId="0" borderId="0" xfId="0" applyFont="1" applyAlignment="1">
      <alignment wrapText="1"/>
    </xf>
    <xf numFmtId="0" fontId="7" fillId="21" borderId="23" xfId="0" applyFont="1" applyFill="1" applyBorder="1" applyAlignment="1">
      <alignment vertical="center"/>
    </xf>
    <xf numFmtId="0" fontId="7" fillId="21" borderId="13" xfId="0" applyFont="1" applyFill="1" applyBorder="1" applyAlignment="1">
      <alignment vertical="center"/>
    </xf>
    <xf numFmtId="0" fontId="6" fillId="5" borderId="23" xfId="0" applyFont="1" applyFill="1" applyBorder="1" applyAlignment="1" quotePrefix="1">
      <alignment horizontal="center" vertical="center"/>
    </xf>
    <xf numFmtId="0" fontId="6" fillId="5" borderId="38" xfId="0" applyFont="1" applyFill="1" applyBorder="1" applyAlignment="1">
      <alignment vertical="center"/>
    </xf>
    <xf numFmtId="0" fontId="1" fillId="0" borderId="39" xfId="0" applyFont="1" applyBorder="1" applyAlignment="1">
      <alignment horizontal="center" vertical="top" wrapText="1"/>
    </xf>
    <xf numFmtId="0" fontId="26" fillId="0" borderId="68" xfId="0" applyNumberFormat="1" applyFont="1" applyBorder="1" applyAlignment="1">
      <alignment horizontal="justify" vertical="top" wrapText="1"/>
    </xf>
    <xf numFmtId="0" fontId="1" fillId="0" borderId="18" xfId="0" applyFont="1" applyBorder="1" applyAlignment="1">
      <alignment horizontal="center" vertical="top" wrapText="1"/>
    </xf>
    <xf numFmtId="0" fontId="26" fillId="0" borderId="46" xfId="0" applyFont="1" applyBorder="1" applyAlignment="1">
      <alignment horizontal="justify" vertical="top" wrapText="1"/>
    </xf>
    <xf numFmtId="0" fontId="6" fillId="5" borderId="23" xfId="0" applyFont="1" applyFill="1" applyBorder="1" applyAlignment="1">
      <alignment horizontal="center" vertical="center"/>
    </xf>
    <xf numFmtId="0" fontId="26" fillId="0" borderId="46" xfId="0" applyNumberFormat="1" applyFont="1" applyBorder="1" applyAlignment="1">
      <alignment horizontal="justify" vertical="center" wrapText="1"/>
    </xf>
    <xf numFmtId="0" fontId="27" fillId="0" borderId="68" xfId="0" applyNumberFormat="1" applyFont="1" applyBorder="1" applyAlignment="1">
      <alignment horizontal="justify" vertical="top" wrapText="1"/>
    </xf>
    <xf numFmtId="0" fontId="27" fillId="0" borderId="21" xfId="0" applyFont="1" applyBorder="1" applyAlignment="1">
      <alignment horizontal="justify" vertical="center" wrapText="1"/>
    </xf>
    <xf numFmtId="0" fontId="27" fillId="0" borderId="46" xfId="0" applyFont="1" applyBorder="1" applyAlignment="1">
      <alignment horizontal="justify" vertical="center" wrapText="1"/>
    </xf>
    <xf numFmtId="0" fontId="1" fillId="0" borderId="39" xfId="0" applyFont="1" applyBorder="1" applyAlignment="1">
      <alignment horizontal="center" vertical="center" wrapText="1"/>
    </xf>
    <xf numFmtId="0" fontId="26" fillId="0" borderId="68" xfId="0" applyFont="1" applyBorder="1" applyAlignment="1">
      <alignment horizontal="justify" vertical="center" wrapText="1"/>
    </xf>
    <xf numFmtId="0" fontId="26" fillId="0" borderId="21" xfId="0" applyFont="1" applyBorder="1" applyAlignment="1">
      <alignment horizontal="justify" vertical="center" wrapText="1"/>
    </xf>
    <xf numFmtId="0" fontId="26" fillId="0" borderId="46" xfId="0" applyNumberFormat="1" applyFont="1" applyBorder="1" applyAlignment="1">
      <alignment horizontal="justify" vertical="top" wrapText="1"/>
    </xf>
    <xf numFmtId="3" fontId="29" fillId="22" borderId="69" xfId="0" applyNumberFormat="1" applyFont="1" applyFill="1" applyBorder="1" applyAlignment="1">
      <alignment/>
    </xf>
    <xf numFmtId="3" fontId="29" fillId="22" borderId="48" xfId="0" applyNumberFormat="1" applyFont="1" applyFill="1" applyBorder="1" applyAlignment="1">
      <alignment/>
    </xf>
    <xf numFmtId="3" fontId="29" fillId="22" borderId="70" xfId="0" applyNumberFormat="1" applyFont="1" applyFill="1" applyBorder="1" applyAlignment="1">
      <alignment/>
    </xf>
    <xf numFmtId="0" fontId="30" fillId="0" borderId="6" xfId="0" applyFont="1" applyFill="1" applyBorder="1" applyAlignment="1">
      <alignment/>
    </xf>
    <xf numFmtId="0" fontId="30" fillId="0" borderId="9" xfId="0" applyFont="1" applyFill="1" applyBorder="1" applyAlignment="1">
      <alignment/>
    </xf>
    <xf numFmtId="2" fontId="30" fillId="0" borderId="25" xfId="0" applyNumberFormat="1" applyFont="1" applyFill="1" applyBorder="1" applyAlignment="1">
      <alignment/>
    </xf>
    <xf numFmtId="0" fontId="15" fillId="5" borderId="34" xfId="0" applyFont="1" applyFill="1" applyBorder="1" applyAlignment="1">
      <alignment horizontal="center"/>
    </xf>
    <xf numFmtId="0" fontId="31" fillId="0" borderId="9" xfId="0" applyFont="1" applyBorder="1" applyAlignment="1">
      <alignment/>
    </xf>
    <xf numFmtId="0" fontId="31" fillId="0" borderId="7" xfId="0" applyFont="1" applyBorder="1" applyAlignment="1">
      <alignment/>
    </xf>
    <xf numFmtId="3" fontId="31" fillId="0" borderId="9" xfId="0" applyNumberFormat="1" applyFont="1" applyBorder="1" applyAlignment="1">
      <alignment/>
    </xf>
    <xf numFmtId="0" fontId="31" fillId="0" borderId="6" xfId="0" applyFont="1" applyBorder="1" applyAlignment="1">
      <alignment/>
    </xf>
    <xf numFmtId="0" fontId="31" fillId="0" borderId="4" xfId="0" applyFont="1" applyBorder="1" applyAlignment="1">
      <alignment/>
    </xf>
    <xf numFmtId="0" fontId="30" fillId="0" borderId="9" xfId="0" applyFont="1" applyBorder="1" applyAlignment="1">
      <alignment/>
    </xf>
    <xf numFmtId="2" fontId="30" fillId="0" borderId="25" xfId="0" applyNumberFormat="1" applyFont="1" applyBorder="1" applyAlignment="1">
      <alignment/>
    </xf>
    <xf numFmtId="3" fontId="30" fillId="0" borderId="6" xfId="0" applyNumberFormat="1" applyFont="1" applyBorder="1" applyAlignment="1">
      <alignment/>
    </xf>
    <xf numFmtId="3" fontId="30" fillId="0" borderId="9" xfId="0" applyNumberFormat="1" applyFont="1" applyBorder="1" applyAlignment="1">
      <alignment/>
    </xf>
    <xf numFmtId="3" fontId="30" fillId="0" borderId="25" xfId="0" applyNumberFormat="1" applyFont="1" applyBorder="1" applyAlignment="1">
      <alignment/>
    </xf>
    <xf numFmtId="0" fontId="30" fillId="0" borderId="37" xfId="0" applyFont="1" applyBorder="1" applyAlignment="1">
      <alignment horizontal="center"/>
    </xf>
    <xf numFmtId="0" fontId="30" fillId="0" borderId="12" xfId="0" applyFont="1" applyBorder="1" applyAlignment="1">
      <alignment horizontal="center"/>
    </xf>
    <xf numFmtId="0" fontId="30" fillId="0" borderId="26" xfId="0" applyFont="1" applyBorder="1" applyAlignment="1">
      <alignment horizontal="center"/>
    </xf>
    <xf numFmtId="0" fontId="30" fillId="0" borderId="25" xfId="0" applyFont="1" applyBorder="1" applyAlignment="1">
      <alignment/>
    </xf>
    <xf numFmtId="0" fontId="30" fillId="0" borderId="55" xfId="0" applyFont="1" applyBorder="1" applyAlignment="1">
      <alignment/>
    </xf>
    <xf numFmtId="0" fontId="30" fillId="0" borderId="47" xfId="0" applyFont="1" applyBorder="1" applyAlignment="1">
      <alignment/>
    </xf>
    <xf numFmtId="0" fontId="30" fillId="0" borderId="44" xfId="0" applyFont="1" applyBorder="1" applyAlignment="1">
      <alignment/>
    </xf>
    <xf numFmtId="0" fontId="30" fillId="0" borderId="9" xfId="0" applyFont="1" applyBorder="1" applyAlignment="1">
      <alignment horizontal="right"/>
    </xf>
    <xf numFmtId="0" fontId="30" fillId="0" borderId="25" xfId="0" applyFont="1" applyBorder="1" applyAlignment="1">
      <alignment horizontal="right"/>
    </xf>
    <xf numFmtId="0" fontId="11" fillId="8" borderId="9" xfId="0" applyFont="1" applyFill="1" applyBorder="1" applyAlignment="1">
      <alignment horizontal="center"/>
    </xf>
    <xf numFmtId="0" fontId="0" fillId="0" borderId="9" xfId="0" applyFont="1" applyBorder="1" applyAlignment="1">
      <alignment horizontal="center"/>
    </xf>
    <xf numFmtId="0" fontId="0" fillId="0" borderId="53" xfId="0" applyFont="1" applyBorder="1" applyAlignment="1">
      <alignment horizontal="center"/>
    </xf>
    <xf numFmtId="1" fontId="0" fillId="0" borderId="9" xfId="0" applyNumberFormat="1" applyFont="1" applyBorder="1" applyAlignment="1">
      <alignment horizontal="center"/>
    </xf>
    <xf numFmtId="0" fontId="11" fillId="2" borderId="9" xfId="0" applyFont="1" applyFill="1" applyBorder="1" applyAlignment="1">
      <alignment horizontal="center"/>
    </xf>
    <xf numFmtId="0" fontId="0" fillId="0" borderId="12" xfId="0" applyFont="1" applyBorder="1" applyAlignment="1">
      <alignment horizontal="right"/>
    </xf>
    <xf numFmtId="0" fontId="0" fillId="0" borderId="26" xfId="0" applyFont="1" applyBorder="1" applyAlignment="1">
      <alignment horizontal="right"/>
    </xf>
    <xf numFmtId="0" fontId="11" fillId="12" borderId="9" xfId="0" applyFont="1" applyFill="1" applyBorder="1" applyAlignment="1">
      <alignment horizontal="center"/>
    </xf>
    <xf numFmtId="0" fontId="0" fillId="0" borderId="53" xfId="0" applyFont="1" applyBorder="1" applyAlignment="1">
      <alignment horizontal="right"/>
    </xf>
    <xf numFmtId="0" fontId="0" fillId="0" borderId="52" xfId="0" applyFont="1" applyBorder="1" applyAlignment="1">
      <alignment horizontal="center"/>
    </xf>
    <xf numFmtId="0" fontId="0" fillId="0" borderId="12" xfId="0" applyFont="1" applyBorder="1" applyAlignment="1">
      <alignment horizontal="center"/>
    </xf>
    <xf numFmtId="0" fontId="0" fillId="2" borderId="9" xfId="0" applyFont="1" applyFill="1" applyBorder="1" applyAlignment="1">
      <alignment horizontal="center"/>
    </xf>
    <xf numFmtId="0" fontId="0" fillId="0" borderId="50" xfId="0" applyFont="1" applyBorder="1" applyAlignment="1">
      <alignment horizontal="center"/>
    </xf>
    <xf numFmtId="0" fontId="0" fillId="2" borderId="9" xfId="0" applyFont="1" applyFill="1" applyBorder="1" applyAlignment="1">
      <alignment horizontal="right"/>
    </xf>
    <xf numFmtId="0" fontId="0" fillId="0" borderId="52" xfId="0" applyFont="1" applyBorder="1" applyAlignment="1">
      <alignment horizontal="right"/>
    </xf>
    <xf numFmtId="203" fontId="0" fillId="4" borderId="70" xfId="0" applyNumberFormat="1" applyFill="1" applyBorder="1" applyAlignment="1">
      <alignment/>
    </xf>
    <xf numFmtId="0" fontId="6" fillId="21" borderId="71" xfId="0" applyFont="1" applyFill="1" applyBorder="1" applyAlignment="1">
      <alignment horizontal="right"/>
    </xf>
    <xf numFmtId="0" fontId="6" fillId="21" borderId="35" xfId="0" applyFont="1" applyFill="1" applyBorder="1" applyAlignment="1">
      <alignment horizontal="right"/>
    </xf>
    <xf numFmtId="0" fontId="26" fillId="0" borderId="21" xfId="0" applyNumberFormat="1" applyFont="1" applyBorder="1" applyAlignment="1">
      <alignment horizontal="justify" vertical="top" wrapText="1"/>
    </xf>
    <xf numFmtId="0" fontId="33" fillId="22" borderId="8" xfId="0" applyFont="1" applyFill="1" applyBorder="1" applyAlignment="1">
      <alignment horizontal="justify" vertical="center" wrapText="1"/>
    </xf>
    <xf numFmtId="0" fontId="26" fillId="0" borderId="21" xfId="0" applyFont="1" applyFill="1" applyBorder="1" applyAlignment="1">
      <alignment horizontal="justify" vertical="center" wrapText="1"/>
    </xf>
    <xf numFmtId="0" fontId="26" fillId="0" borderId="21" xfId="0" applyNumberFormat="1" applyFont="1" applyBorder="1" applyAlignment="1">
      <alignment horizontal="justify" vertical="top" wrapText="1" readingOrder="1"/>
    </xf>
    <xf numFmtId="0" fontId="0" fillId="0" borderId="0" xfId="0" applyAlignment="1">
      <alignment horizontal="justify" vertical="top" wrapText="1"/>
    </xf>
    <xf numFmtId="0" fontId="26" fillId="0" borderId="68" xfId="0" applyNumberFormat="1" applyFont="1" applyBorder="1" applyAlignment="1" applyProtection="1">
      <alignment horizontal="justify" vertical="top" wrapText="1"/>
      <protection locked="0"/>
    </xf>
    <xf numFmtId="0" fontId="1" fillId="0" borderId="0" xfId="0" applyFont="1" applyBorder="1" applyAlignment="1">
      <alignment horizontal="center" vertical="top" wrapText="1"/>
    </xf>
    <xf numFmtId="0" fontId="1" fillId="0" borderId="2" xfId="0" applyFont="1" applyBorder="1" applyAlignment="1">
      <alignment horizontal="center" vertical="top" wrapText="1"/>
    </xf>
    <xf numFmtId="0" fontId="12" fillId="23" borderId="23" xfId="0" applyFont="1" applyFill="1" applyBorder="1" applyAlignment="1">
      <alignment/>
    </xf>
    <xf numFmtId="0" fontId="12" fillId="23" borderId="13" xfId="0" applyFont="1" applyFill="1" applyBorder="1" applyAlignment="1">
      <alignment/>
    </xf>
    <xf numFmtId="0" fontId="7" fillId="24" borderId="72" xfId="0" applyFont="1" applyFill="1" applyBorder="1" applyAlignment="1">
      <alignment/>
    </xf>
    <xf numFmtId="0" fontId="7" fillId="24" borderId="13" xfId="0" applyFont="1" applyFill="1" applyBorder="1" applyAlignment="1">
      <alignment/>
    </xf>
    <xf numFmtId="0" fontId="7" fillId="24" borderId="23" xfId="0" applyFont="1" applyFill="1" applyBorder="1" applyAlignment="1">
      <alignment/>
    </xf>
    <xf numFmtId="0" fontId="9" fillId="4" borderId="43" xfId="0" applyFont="1" applyFill="1" applyBorder="1" applyAlignment="1">
      <alignment/>
    </xf>
    <xf numFmtId="0" fontId="11" fillId="4" borderId="14" xfId="0" applyFont="1" applyFill="1" applyBorder="1" applyAlignment="1">
      <alignment/>
    </xf>
    <xf numFmtId="0" fontId="11" fillId="4" borderId="28" xfId="0" applyFont="1" applyFill="1" applyBorder="1" applyAlignment="1">
      <alignment/>
    </xf>
    <xf numFmtId="0" fontId="9" fillId="4" borderId="28" xfId="0" applyFont="1" applyFill="1" applyBorder="1" applyAlignment="1">
      <alignment/>
    </xf>
    <xf numFmtId="0" fontId="9" fillId="4" borderId="14" xfId="0" applyFont="1" applyFill="1" applyBorder="1" applyAlignment="1">
      <alignment/>
    </xf>
    <xf numFmtId="44" fontId="11" fillId="4" borderId="15" xfId="17" applyFont="1" applyFill="1" applyBorder="1" applyAlignment="1">
      <alignment/>
    </xf>
    <xf numFmtId="3" fontId="29" fillId="22" borderId="0" xfId="0" applyNumberFormat="1" applyFont="1" applyFill="1" applyBorder="1" applyAlignment="1">
      <alignment/>
    </xf>
    <xf numFmtId="3" fontId="0" fillId="0" borderId="0" xfId="0" applyNumberFormat="1" applyBorder="1" applyAlignment="1">
      <alignment/>
    </xf>
    <xf numFmtId="0" fontId="0" fillId="0" borderId="9" xfId="0" applyBorder="1" applyAlignment="1">
      <alignment vertical="top" wrapText="1"/>
    </xf>
    <xf numFmtId="0" fontId="0" fillId="0" borderId="11" xfId="0" applyBorder="1" applyAlignment="1">
      <alignment horizontal="center" vertical="top"/>
    </xf>
    <xf numFmtId="203" fontId="0" fillId="0" borderId="12" xfId="0" applyNumberFormat="1" applyBorder="1" applyAlignment="1">
      <alignment horizontal="right" vertical="top"/>
    </xf>
    <xf numFmtId="0" fontId="0" fillId="0" borderId="24" xfId="0" applyBorder="1" applyAlignment="1">
      <alignment horizontal="center" vertical="top"/>
    </xf>
    <xf numFmtId="0" fontId="0" fillId="0" borderId="25" xfId="0" applyBorder="1" applyAlignment="1">
      <alignment vertical="top" wrapText="1"/>
    </xf>
    <xf numFmtId="203" fontId="0" fillId="0" borderId="26" xfId="0" applyNumberFormat="1" applyBorder="1" applyAlignment="1">
      <alignment horizontal="right" vertical="top"/>
    </xf>
    <xf numFmtId="0" fontId="0" fillId="0" borderId="41" xfId="0" applyBorder="1" applyAlignment="1">
      <alignment horizontal="center" vertical="top"/>
    </xf>
    <xf numFmtId="0" fontId="0" fillId="0" borderId="6" xfId="0" applyBorder="1" applyAlignment="1">
      <alignment vertical="top" wrapText="1"/>
    </xf>
    <xf numFmtId="203" fontId="0" fillId="0" borderId="37" xfId="0" applyNumberFormat="1" applyBorder="1" applyAlignment="1">
      <alignment horizontal="right" vertical="top"/>
    </xf>
    <xf numFmtId="0" fontId="0" fillId="2" borderId="42" xfId="0" applyFill="1" applyBorder="1" applyAlignment="1">
      <alignment horizontal="center"/>
    </xf>
    <xf numFmtId="0" fontId="0" fillId="2" borderId="34" xfId="0" applyFill="1" applyBorder="1" applyAlignment="1">
      <alignment/>
    </xf>
    <xf numFmtId="0" fontId="0" fillId="2" borderId="35" xfId="0" applyFill="1" applyBorder="1" applyAlignment="1">
      <alignment horizontal="center" vertical="top" wrapText="1"/>
    </xf>
    <xf numFmtId="0" fontId="17" fillId="11" borderId="39" xfId="0" applyFont="1" applyFill="1" applyBorder="1" applyAlignment="1">
      <alignment/>
    </xf>
    <xf numFmtId="0" fontId="17" fillId="11" borderId="1" xfId="0" applyFont="1" applyFill="1" applyBorder="1" applyAlignment="1">
      <alignment/>
    </xf>
    <xf numFmtId="0" fontId="17" fillId="11" borderId="10" xfId="0" applyFont="1" applyFill="1" applyBorder="1" applyAlignment="1">
      <alignment/>
    </xf>
    <xf numFmtId="0" fontId="0" fillId="0" borderId="2" xfId="0" applyFill="1" applyBorder="1" applyAlignment="1">
      <alignment/>
    </xf>
    <xf numFmtId="0" fontId="36" fillId="0" borderId="0" xfId="0" applyFont="1" applyFill="1" applyAlignment="1">
      <alignment/>
    </xf>
    <xf numFmtId="206" fontId="0" fillId="0" borderId="63" xfId="0" applyNumberFormat="1" applyBorder="1" applyAlignment="1">
      <alignment/>
    </xf>
    <xf numFmtId="207" fontId="0" fillId="0" borderId="63" xfId="0" applyNumberFormat="1" applyBorder="1" applyAlignment="1">
      <alignment/>
    </xf>
    <xf numFmtId="0" fontId="0" fillId="0" borderId="73" xfId="0" applyFont="1" applyBorder="1" applyAlignment="1">
      <alignment/>
    </xf>
    <xf numFmtId="1" fontId="0" fillId="0" borderId="12" xfId="0" applyNumberFormat="1" applyFont="1" applyBorder="1" applyAlignment="1">
      <alignment/>
    </xf>
    <xf numFmtId="1" fontId="0" fillId="0" borderId="73" xfId="0" applyNumberFormat="1" applyFont="1" applyBorder="1" applyAlignment="1">
      <alignment/>
    </xf>
    <xf numFmtId="1" fontId="0" fillId="0" borderId="44" xfId="0" applyNumberFormat="1" applyFont="1" applyBorder="1" applyAlignment="1">
      <alignment/>
    </xf>
    <xf numFmtId="0" fontId="0" fillId="0" borderId="74" xfId="0" applyFont="1" applyBorder="1" applyAlignment="1">
      <alignment/>
    </xf>
    <xf numFmtId="1" fontId="0" fillId="0" borderId="44" xfId="0" applyNumberFormat="1" applyFont="1" applyBorder="1" applyAlignment="1">
      <alignment horizontal="center"/>
    </xf>
    <xf numFmtId="44" fontId="0" fillId="0" borderId="73" xfId="17" applyFont="1" applyBorder="1" applyAlignment="1">
      <alignment/>
    </xf>
    <xf numFmtId="44" fontId="0" fillId="0" borderId="12" xfId="0" applyNumberFormat="1" applyFont="1" applyBorder="1" applyAlignment="1">
      <alignment/>
    </xf>
    <xf numFmtId="44" fontId="0" fillId="0" borderId="54" xfId="0" applyNumberFormat="1" applyFont="1" applyBorder="1" applyAlignment="1">
      <alignment/>
    </xf>
    <xf numFmtId="44" fontId="9" fillId="5" borderId="3" xfId="0" applyNumberFormat="1" applyFont="1" applyFill="1" applyBorder="1" applyAlignment="1">
      <alignment/>
    </xf>
    <xf numFmtId="44" fontId="9" fillId="5" borderId="29" xfId="0" applyNumberFormat="1" applyFont="1" applyFill="1" applyBorder="1" applyAlignment="1">
      <alignment/>
    </xf>
    <xf numFmtId="44" fontId="9" fillId="5" borderId="30" xfId="0" applyNumberFormat="1" applyFont="1" applyFill="1" applyBorder="1" applyAlignment="1">
      <alignment/>
    </xf>
    <xf numFmtId="0" fontId="17" fillId="20" borderId="43" xfId="0" applyFont="1" applyFill="1" applyBorder="1" applyAlignment="1">
      <alignment/>
    </xf>
    <xf numFmtId="0" fontId="17" fillId="20" borderId="14" xfId="0" applyFont="1" applyFill="1" applyBorder="1" applyAlignment="1">
      <alignment/>
    </xf>
    <xf numFmtId="0" fontId="15" fillId="20" borderId="14" xfId="0" applyFont="1" applyFill="1" applyBorder="1" applyAlignment="1">
      <alignment/>
    </xf>
    <xf numFmtId="44" fontId="15" fillId="20" borderId="15" xfId="17" applyFont="1" applyFill="1" applyBorder="1" applyAlignment="1">
      <alignment/>
    </xf>
    <xf numFmtId="0" fontId="0" fillId="0" borderId="69" xfId="0" applyFont="1" applyBorder="1" applyAlignment="1">
      <alignment/>
    </xf>
    <xf numFmtId="44" fontId="0" fillId="0" borderId="9" xfId="0" applyNumberFormat="1" applyFont="1" applyBorder="1" applyAlignment="1">
      <alignment/>
    </xf>
    <xf numFmtId="0" fontId="0" fillId="0" borderId="44" xfId="0" applyFont="1" applyBorder="1" applyAlignment="1">
      <alignment horizontal="center"/>
    </xf>
    <xf numFmtId="0" fontId="9" fillId="25" borderId="43" xfId="0" applyFont="1" applyFill="1" applyBorder="1" applyAlignment="1">
      <alignment/>
    </xf>
    <xf numFmtId="0" fontId="6" fillId="25" borderId="14" xfId="0" applyFont="1" applyFill="1" applyBorder="1" applyAlignment="1">
      <alignment/>
    </xf>
    <xf numFmtId="44" fontId="6" fillId="25" borderId="15" xfId="17" applyFont="1" applyFill="1" applyBorder="1" applyAlignment="1">
      <alignment/>
    </xf>
    <xf numFmtId="0" fontId="0" fillId="0" borderId="58" xfId="0" applyFont="1" applyFill="1" applyBorder="1" applyAlignment="1">
      <alignment/>
    </xf>
    <xf numFmtId="0" fontId="0" fillId="0" borderId="18" xfId="0" applyFont="1" applyFill="1" applyBorder="1" applyAlignment="1">
      <alignment/>
    </xf>
    <xf numFmtId="44" fontId="9" fillId="0" borderId="26" xfId="17" applyFont="1" applyBorder="1" applyAlignment="1">
      <alignment/>
    </xf>
    <xf numFmtId="0" fontId="0" fillId="0" borderId="58" xfId="0" applyFont="1" applyFill="1" applyBorder="1" applyAlignment="1">
      <alignment/>
    </xf>
    <xf numFmtId="0" fontId="0" fillId="0" borderId="57" xfId="0" applyFont="1" applyBorder="1" applyAlignment="1">
      <alignment/>
    </xf>
    <xf numFmtId="0" fontId="0" fillId="0" borderId="45" xfId="0" applyFont="1" applyBorder="1" applyAlignment="1">
      <alignment/>
    </xf>
    <xf numFmtId="0" fontId="0" fillId="2" borderId="9" xfId="0" applyFont="1" applyFill="1" applyBorder="1" applyAlignment="1">
      <alignment/>
    </xf>
    <xf numFmtId="0" fontId="0" fillId="2" borderId="9" xfId="0" applyFont="1" applyFill="1" applyBorder="1" applyAlignment="1">
      <alignment horizontal="center"/>
    </xf>
    <xf numFmtId="44" fontId="0" fillId="2" borderId="12" xfId="17" applyFont="1" applyFill="1" applyBorder="1" applyAlignment="1">
      <alignment/>
    </xf>
    <xf numFmtId="0" fontId="0" fillId="0" borderId="18" xfId="0" applyFont="1" applyFill="1" applyBorder="1" applyAlignment="1">
      <alignment/>
    </xf>
    <xf numFmtId="0" fontId="0" fillId="0" borderId="19" xfId="0" applyFont="1" applyBorder="1" applyAlignment="1">
      <alignment/>
    </xf>
    <xf numFmtId="0" fontId="0" fillId="0" borderId="46" xfId="0" applyFont="1" applyBorder="1" applyAlignment="1">
      <alignment/>
    </xf>
    <xf numFmtId="0" fontId="0" fillId="0" borderId="25" xfId="0" applyFont="1" applyBorder="1" applyAlignment="1">
      <alignment/>
    </xf>
    <xf numFmtId="1" fontId="0" fillId="0" borderId="25" xfId="0" applyNumberFormat="1" applyFont="1" applyBorder="1" applyAlignment="1">
      <alignment/>
    </xf>
    <xf numFmtId="0" fontId="21" fillId="11" borderId="43" xfId="0" applyFont="1" applyFill="1" applyBorder="1" applyAlignment="1">
      <alignment/>
    </xf>
    <xf numFmtId="0" fontId="0" fillId="11" borderId="14" xfId="0" applyFill="1" applyBorder="1" applyAlignment="1">
      <alignment/>
    </xf>
    <xf numFmtId="0" fontId="9" fillId="11" borderId="15" xfId="0" applyFont="1" applyFill="1" applyBorder="1" applyAlignment="1">
      <alignment horizontal="right"/>
    </xf>
    <xf numFmtId="0" fontId="0" fillId="0" borderId="18" xfId="0" applyFont="1" applyBorder="1" applyAlignment="1">
      <alignment/>
    </xf>
    <xf numFmtId="44" fontId="0" fillId="19" borderId="26" xfId="0" applyNumberFormat="1" applyFont="1" applyFill="1" applyBorder="1" applyAlignment="1">
      <alignment/>
    </xf>
    <xf numFmtId="0" fontId="0" fillId="2" borderId="42" xfId="0" applyFill="1" applyBorder="1" applyAlignment="1">
      <alignment/>
    </xf>
    <xf numFmtId="0" fontId="0" fillId="2" borderId="34" xfId="0" applyFill="1" applyBorder="1" applyAlignment="1">
      <alignment vertical="top" wrapText="1"/>
    </xf>
    <xf numFmtId="0" fontId="0" fillId="2" borderId="35" xfId="0" applyFill="1" applyBorder="1" applyAlignment="1">
      <alignment/>
    </xf>
    <xf numFmtId="0" fontId="0" fillId="0" borderId="41" xfId="0" applyFill="1" applyBorder="1" applyAlignment="1">
      <alignment horizontal="center" vertical="top"/>
    </xf>
    <xf numFmtId="0" fontId="0" fillId="0" borderId="6" xfId="0" applyFill="1" applyBorder="1" applyAlignment="1">
      <alignment vertical="top" wrapText="1"/>
    </xf>
    <xf numFmtId="44" fontId="0" fillId="0" borderId="3" xfId="0" applyNumberFormat="1" applyBorder="1" applyAlignment="1">
      <alignment/>
    </xf>
    <xf numFmtId="0" fontId="0" fillId="0" borderId="24" xfId="0" applyFill="1" applyBorder="1" applyAlignment="1">
      <alignment horizontal="center" vertical="top"/>
    </xf>
    <xf numFmtId="0" fontId="0" fillId="0" borderId="25" xfId="0" applyFill="1" applyBorder="1" applyAlignment="1">
      <alignment vertical="top" wrapText="1"/>
    </xf>
    <xf numFmtId="3" fontId="39" fillId="22" borderId="19" xfId="0" applyNumberFormat="1" applyFont="1" applyFill="1" applyBorder="1" applyAlignment="1">
      <alignment/>
    </xf>
    <xf numFmtId="3" fontId="39" fillId="22" borderId="0" xfId="0" applyNumberFormat="1" applyFont="1" applyFill="1" applyBorder="1" applyAlignment="1">
      <alignment/>
    </xf>
    <xf numFmtId="3" fontId="39" fillId="22" borderId="69" xfId="0" applyNumberFormat="1" applyFont="1" applyFill="1" applyBorder="1" applyAlignment="1">
      <alignment/>
    </xf>
    <xf numFmtId="3" fontId="39" fillId="22" borderId="48" xfId="0" applyNumberFormat="1" applyFont="1" applyFill="1" applyBorder="1" applyAlignment="1">
      <alignment/>
    </xf>
    <xf numFmtId="3" fontId="39" fillId="22" borderId="6" xfId="0" applyNumberFormat="1" applyFont="1" applyFill="1" applyBorder="1" applyAlignment="1">
      <alignment/>
    </xf>
    <xf numFmtId="0" fontId="40" fillId="0" borderId="55" xfId="0" applyFont="1" applyBorder="1" applyAlignment="1">
      <alignment/>
    </xf>
    <xf numFmtId="0" fontId="40" fillId="0" borderId="9" xfId="0" applyFont="1" applyBorder="1" applyAlignment="1">
      <alignment/>
    </xf>
    <xf numFmtId="3" fontId="41" fillId="22" borderId="48" xfId="0" applyNumberFormat="1" applyFont="1" applyFill="1" applyBorder="1" applyAlignment="1">
      <alignment/>
    </xf>
    <xf numFmtId="3" fontId="41" fillId="22" borderId="70" xfId="0" applyNumberFormat="1" applyFont="1" applyFill="1" applyBorder="1" applyAlignment="1">
      <alignment/>
    </xf>
    <xf numFmtId="0" fontId="0" fillId="0" borderId="0" xfId="0" applyFont="1" applyFill="1" applyBorder="1" applyAlignment="1">
      <alignment vertical="top" wrapText="1"/>
    </xf>
    <xf numFmtId="0" fontId="0" fillId="0" borderId="3" xfId="0" applyFont="1" applyFill="1" applyBorder="1" applyAlignment="1">
      <alignment vertical="top" wrapText="1"/>
    </xf>
    <xf numFmtId="0" fontId="15" fillId="5" borderId="23" xfId="0" applyFont="1" applyFill="1" applyBorder="1" applyAlignment="1">
      <alignment/>
    </xf>
    <xf numFmtId="0" fontId="15" fillId="5" borderId="13" xfId="0" applyFont="1" applyFill="1" applyBorder="1" applyAlignment="1">
      <alignment/>
    </xf>
    <xf numFmtId="0" fontId="15" fillId="5" borderId="23" xfId="0" applyFont="1" applyFill="1" applyBorder="1" applyAlignment="1">
      <alignment/>
    </xf>
    <xf numFmtId="0" fontId="15" fillId="5" borderId="13"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Summary of Results</a:t>
            </a:r>
          </a:p>
        </c:rich>
      </c:tx>
      <c:layout/>
      <c:spPr>
        <a:noFill/>
        <a:ln>
          <a:noFill/>
        </a:ln>
      </c:spPr>
    </c:title>
    <c:plotArea>
      <c:layout>
        <c:manualLayout>
          <c:xMode val="edge"/>
          <c:yMode val="edge"/>
          <c:x val="0.07525"/>
          <c:y val="0.15375"/>
          <c:w val="0.90175"/>
          <c:h val="0.748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Summary!$D$5:$D$8</c:f>
              <c:numCache>
                <c:ptCount val="4"/>
                <c:pt idx="0">
                  <c:v>0</c:v>
                </c:pt>
                <c:pt idx="1">
                  <c:v>0</c:v>
                </c:pt>
                <c:pt idx="2">
                  <c:v>0</c:v>
                </c:pt>
                <c:pt idx="3">
                  <c:v>0</c:v>
                </c:pt>
              </c:numCache>
            </c:numRef>
          </c:val>
        </c:ser>
        <c:axId val="11704945"/>
        <c:axId val="38235642"/>
      </c:barChart>
      <c:catAx>
        <c:axId val="11704945"/>
        <c:scaling>
          <c:orientation val="minMax"/>
        </c:scaling>
        <c:axPos val="b"/>
        <c:title>
          <c:tx>
            <c:rich>
              <a:bodyPr vert="horz" rot="0" anchor="ctr"/>
              <a:lstStyle/>
              <a:p>
                <a:pPr algn="ctr">
                  <a:defRPr/>
                </a:pPr>
                <a:r>
                  <a:rPr lang="en-US" cap="none" sz="900" b="1" i="0" u="none" baseline="0">
                    <a:latin typeface="Arial"/>
                    <a:ea typeface="Arial"/>
                    <a:cs typeface="Arial"/>
                  </a:rPr>
                  <a:t>Options</a:t>
                </a:r>
              </a:p>
            </c:rich>
          </c:tx>
          <c:layout>
            <c:manualLayout>
              <c:xMode val="factor"/>
              <c:yMode val="factor"/>
              <c:x val="-0.00125"/>
              <c:y val="0.002"/>
            </c:manualLayout>
          </c:layout>
          <c:overlay val="0"/>
          <c:spPr>
            <a:noFill/>
            <a:ln>
              <a:noFill/>
            </a:ln>
          </c:spPr>
        </c:title>
        <c:delete val="0"/>
        <c:numFmt formatCode="General" sourceLinked="1"/>
        <c:majorTickMark val="out"/>
        <c:minorTickMark val="none"/>
        <c:tickLblPos val="nextTo"/>
        <c:crossAx val="38235642"/>
        <c:crosses val="autoZero"/>
        <c:auto val="1"/>
        <c:lblOffset val="100"/>
        <c:noMultiLvlLbl val="0"/>
      </c:catAx>
      <c:valAx>
        <c:axId val="38235642"/>
        <c:scaling>
          <c:orientation val="minMax"/>
        </c:scaling>
        <c:axPos val="l"/>
        <c:title>
          <c:tx>
            <c:rich>
              <a:bodyPr vert="horz" rot="-5400000" anchor="ctr"/>
              <a:lstStyle/>
              <a:p>
                <a:pPr algn="ctr">
                  <a:defRPr/>
                </a:pPr>
                <a:r>
                  <a:rPr lang="en-US" cap="none" sz="900" b="1" i="0" u="none" baseline="0">
                    <a:latin typeface="Arial"/>
                    <a:ea typeface="Arial"/>
                    <a:cs typeface="Arial"/>
                  </a:rPr>
                  <a:t>Total Annual Costs</a:t>
                </a:r>
              </a:p>
            </c:rich>
          </c:tx>
          <c:layout/>
          <c:overlay val="0"/>
          <c:spPr>
            <a:noFill/>
            <a:ln>
              <a:noFill/>
            </a:ln>
          </c:spPr>
        </c:title>
        <c:majorGridlines/>
        <c:delete val="0"/>
        <c:numFmt formatCode="General" sourceLinked="1"/>
        <c:majorTickMark val="out"/>
        <c:minorTickMark val="none"/>
        <c:tickLblPos val="nextTo"/>
        <c:crossAx val="1170494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114300</xdr:rowOff>
    </xdr:from>
    <xdr:to>
      <xdr:col>2</xdr:col>
      <xdr:colOff>1000125</xdr:colOff>
      <xdr:row>0</xdr:row>
      <xdr:rowOff>619125</xdr:rowOff>
    </xdr:to>
    <xdr:pic>
      <xdr:nvPicPr>
        <xdr:cNvPr id="1" name="Picture 1"/>
        <xdr:cNvPicPr preferRelativeResize="1">
          <a:picLocks noChangeAspect="1"/>
        </xdr:cNvPicPr>
      </xdr:nvPicPr>
      <xdr:blipFill>
        <a:blip r:embed="rId1"/>
        <a:stretch>
          <a:fillRect/>
        </a:stretch>
      </xdr:blipFill>
      <xdr:spPr>
        <a:xfrm>
          <a:off x="180975" y="114300"/>
          <a:ext cx="20002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0</xdr:colOff>
      <xdr:row>6</xdr:row>
      <xdr:rowOff>1009650</xdr:rowOff>
    </xdr:to>
    <xdr:graphicFrame>
      <xdr:nvGraphicFramePr>
        <xdr:cNvPr id="1" name="Chart 1"/>
        <xdr:cNvGraphicFramePr/>
      </xdr:nvGraphicFramePr>
      <xdr:xfrm>
        <a:off x="4000500" y="590550"/>
        <a:ext cx="4257675" cy="33051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orge%20Emmanuel\Local%20Settings\Temporary%20Internet%20Files\OLK12\HCWM_CAT_2007%20WHO%20tool%20cost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tro"/>
      <sheetName val="Tool A"/>
      <sheetName val="Tool B1"/>
      <sheetName val="Tool B2"/>
      <sheetName val="Tool B3"/>
      <sheetName val="Tool B4"/>
      <sheetName val="Tool C"/>
    </sheetNames>
    <sheetDataSet>
      <sheetData sheetId="2">
        <row r="6">
          <cell r="E6">
            <v>0.2</v>
          </cell>
        </row>
        <row r="8">
          <cell r="E8">
            <v>0.5</v>
          </cell>
        </row>
        <row r="9">
          <cell r="E9">
            <v>10</v>
          </cell>
        </row>
        <row r="10">
          <cell r="E10">
            <v>300</v>
          </cell>
        </row>
        <row r="11">
          <cell r="E11">
            <v>4</v>
          </cell>
          <cell r="G11">
            <v>1</v>
          </cell>
        </row>
        <row r="20">
          <cell r="E20">
            <v>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6"/>
  <sheetViews>
    <sheetView tabSelected="1" zoomScale="125" zoomScaleNormal="125" workbookViewId="0" topLeftCell="A1">
      <selection activeCell="A1" sqref="A1"/>
    </sheetView>
  </sheetViews>
  <sheetFormatPr defaultColWidth="9.140625" defaultRowHeight="12.75"/>
  <cols>
    <col min="1" max="1" width="2.7109375" style="0" customWidth="1"/>
    <col min="2" max="2" width="15.00390625" style="0" customWidth="1"/>
    <col min="3" max="3" width="31.57421875" style="0" customWidth="1"/>
    <col min="4" max="4" width="77.8515625" style="0" customWidth="1"/>
  </cols>
  <sheetData>
    <row r="1" spans="1:4" ht="55.5" customHeight="1">
      <c r="A1" s="338"/>
      <c r="B1" s="4"/>
      <c r="C1" s="4"/>
      <c r="D1" s="17"/>
    </row>
    <row r="2" spans="1:4" ht="23.25">
      <c r="A2" s="5"/>
      <c r="B2" s="345" t="s">
        <v>376</v>
      </c>
      <c r="C2" s="6"/>
      <c r="D2" s="7"/>
    </row>
    <row r="3" spans="1:4" s="6" customFormat="1" ht="18.75" thickBot="1">
      <c r="A3" s="314"/>
      <c r="B3" s="346" t="s">
        <v>377</v>
      </c>
      <c r="C3" s="330"/>
      <c r="D3" s="315"/>
    </row>
    <row r="4" s="6" customFormat="1" ht="6.75" customHeight="1" thickBot="1"/>
    <row r="5" spans="1:4" ht="18">
      <c r="A5" s="338"/>
      <c r="B5" s="347" t="s">
        <v>378</v>
      </c>
      <c r="C5" s="347"/>
      <c r="D5" s="348"/>
    </row>
    <row r="6" spans="1:4" ht="12.75">
      <c r="A6" s="5"/>
      <c r="B6" s="349" t="s">
        <v>379</v>
      </c>
      <c r="C6" s="349" t="s">
        <v>380</v>
      </c>
      <c r="D6" s="350" t="s">
        <v>378</v>
      </c>
    </row>
    <row r="7" spans="1:4" ht="12.75">
      <c r="A7" s="5"/>
      <c r="B7" s="6" t="s">
        <v>381</v>
      </c>
      <c r="C7" s="6"/>
      <c r="D7" s="352" t="s">
        <v>382</v>
      </c>
    </row>
    <row r="8" spans="1:4" ht="12.75">
      <c r="A8" s="5"/>
      <c r="B8" s="351" t="s">
        <v>384</v>
      </c>
      <c r="C8" s="353" t="s">
        <v>402</v>
      </c>
      <c r="D8" s="352" t="s">
        <v>426</v>
      </c>
    </row>
    <row r="9" spans="1:4" ht="12.75">
      <c r="A9" s="5"/>
      <c r="B9" s="6" t="s">
        <v>261</v>
      </c>
      <c r="C9" s="353" t="s">
        <v>402</v>
      </c>
      <c r="D9" s="7" t="s">
        <v>393</v>
      </c>
    </row>
    <row r="10" spans="1:4" ht="12.75">
      <c r="A10" s="5"/>
      <c r="B10" s="6" t="s">
        <v>385</v>
      </c>
      <c r="C10" s="353" t="s">
        <v>390</v>
      </c>
      <c r="D10" s="7" t="s">
        <v>427</v>
      </c>
    </row>
    <row r="11" spans="1:4" ht="12.75">
      <c r="A11" s="5"/>
      <c r="B11" s="6" t="s">
        <v>386</v>
      </c>
      <c r="C11" s="353" t="s">
        <v>390</v>
      </c>
      <c r="D11" s="7" t="s">
        <v>428</v>
      </c>
    </row>
    <row r="12" spans="1:4" ht="12.75">
      <c r="A12" s="5"/>
      <c r="B12" s="6" t="s">
        <v>387</v>
      </c>
      <c r="C12" s="353" t="s">
        <v>390</v>
      </c>
      <c r="D12" s="7" t="s">
        <v>429</v>
      </c>
    </row>
    <row r="13" spans="1:4" ht="12.75">
      <c r="A13" s="5"/>
      <c r="B13" s="6" t="s">
        <v>388</v>
      </c>
      <c r="C13" s="353" t="s">
        <v>391</v>
      </c>
      <c r="D13" s="7" t="s">
        <v>430</v>
      </c>
    </row>
    <row r="14" spans="1:4" ht="12.75">
      <c r="A14" s="5"/>
      <c r="B14" s="6" t="s">
        <v>383</v>
      </c>
      <c r="C14" s="353" t="s">
        <v>392</v>
      </c>
      <c r="D14" s="7" t="s">
        <v>431</v>
      </c>
    </row>
    <row r="15" spans="1:4" ht="12.75">
      <c r="A15" s="5"/>
      <c r="B15" s="6" t="s">
        <v>389</v>
      </c>
      <c r="C15" s="353" t="s">
        <v>402</v>
      </c>
      <c r="D15" s="7" t="s">
        <v>394</v>
      </c>
    </row>
    <row r="16" spans="1:4" ht="12.75">
      <c r="A16" s="5"/>
      <c r="B16" s="312" t="s">
        <v>31</v>
      </c>
      <c r="C16" s="353"/>
      <c r="D16" s="7" t="s">
        <v>32</v>
      </c>
    </row>
    <row r="17" spans="1:4" ht="13.5" thickBot="1">
      <c r="A17" s="354" t="s">
        <v>395</v>
      </c>
      <c r="B17" s="355" t="s">
        <v>396</v>
      </c>
      <c r="C17" s="355"/>
      <c r="D17" s="356"/>
    </row>
    <row r="18" spans="1:4" ht="6.75" customHeight="1" thickBot="1">
      <c r="A18" s="357"/>
      <c r="B18" s="357"/>
      <c r="C18" s="358"/>
      <c r="D18" s="357"/>
    </row>
    <row r="19" spans="1:4" ht="15.75">
      <c r="A19" s="359"/>
      <c r="B19" s="360" t="s">
        <v>397</v>
      </c>
      <c r="C19" s="360"/>
      <c r="D19" s="361"/>
    </row>
    <row r="20" spans="1:4" ht="13.5" thickBot="1">
      <c r="A20" s="362"/>
      <c r="B20" s="363" t="s">
        <v>403</v>
      </c>
      <c r="C20" s="363"/>
      <c r="D20" s="364"/>
    </row>
    <row r="21" spans="1:4" ht="7.5" customHeight="1" thickBot="1">
      <c r="A21" s="357"/>
      <c r="B21" s="357"/>
      <c r="C21" s="358"/>
      <c r="D21" s="357"/>
    </row>
    <row r="22" spans="1:4" ht="15.75">
      <c r="A22" s="359"/>
      <c r="B22" s="360" t="s">
        <v>398</v>
      </c>
      <c r="C22" s="365" t="s">
        <v>399</v>
      </c>
      <c r="D22" s="361"/>
    </row>
    <row r="23" spans="1:4" ht="8.25" customHeight="1">
      <c r="A23" s="366"/>
      <c r="B23" s="367"/>
      <c r="C23" s="368"/>
      <c r="D23" s="369"/>
    </row>
    <row r="24" spans="1:4" ht="41.25" customHeight="1">
      <c r="A24" s="370"/>
      <c r="B24" s="371" t="s">
        <v>400</v>
      </c>
      <c r="C24" s="537" t="s">
        <v>401</v>
      </c>
      <c r="D24" s="538"/>
    </row>
    <row r="25" spans="1:4" ht="7.5" customHeight="1" thickBot="1">
      <c r="A25" s="372"/>
      <c r="B25" s="373"/>
      <c r="C25" s="374"/>
      <c r="D25" s="375"/>
    </row>
    <row r="26" spans="1:4" ht="12.75">
      <c r="A26" s="376"/>
      <c r="B26" s="376"/>
      <c r="C26" s="377"/>
      <c r="D26" s="376"/>
    </row>
  </sheetData>
  <mergeCells count="1">
    <mergeCell ref="C24:D24"/>
  </mergeCells>
  <printOptions/>
  <pageMargins left="0.5" right="0.5" top="0.5" bottom="0.5" header="0.5" footer="0.5"/>
  <pageSetup orientation="landscape" r:id="rId2"/>
  <drawing r:id="rId1"/>
</worksheet>
</file>

<file path=xl/worksheets/sheet10.xml><?xml version="1.0" encoding="utf-8"?>
<worksheet xmlns="http://schemas.openxmlformats.org/spreadsheetml/2006/main" xmlns:r="http://schemas.openxmlformats.org/officeDocument/2006/relationships">
  <dimension ref="A2:L167"/>
  <sheetViews>
    <sheetView workbookViewId="0" topLeftCell="A1">
      <selection activeCell="A1" sqref="A1"/>
    </sheetView>
  </sheetViews>
  <sheetFormatPr defaultColWidth="9.140625" defaultRowHeight="12.75"/>
  <cols>
    <col min="1" max="1" width="4.00390625" style="0" customWidth="1"/>
    <col min="2" max="2" width="5.28125" style="0" customWidth="1"/>
    <col min="3" max="4" width="8.8515625" style="0" customWidth="1"/>
    <col min="5" max="5" width="10.140625" style="0" customWidth="1"/>
    <col min="6" max="6" width="8.8515625" style="0" customWidth="1"/>
    <col min="7" max="7" width="12.8515625" style="0" customWidth="1"/>
    <col min="8" max="8" width="12.421875" style="0" customWidth="1"/>
    <col min="9" max="9" width="12.57421875" style="0" customWidth="1"/>
    <col min="10" max="10" width="17.140625" style="0" customWidth="1"/>
    <col min="11" max="11" width="11.140625" style="0" customWidth="1"/>
    <col min="12" max="16384" width="8.8515625" style="0" customWidth="1"/>
  </cols>
  <sheetData>
    <row r="1" ht="13.5" thickBot="1"/>
    <row r="2" s="145" customFormat="1" ht="18.75" thickBot="1">
      <c r="A2" s="144" t="s">
        <v>33</v>
      </c>
    </row>
    <row r="3" ht="13.5" thickBot="1"/>
    <row r="4" spans="2:9" ht="16.5" thickBot="1">
      <c r="B4" s="319" t="s">
        <v>115</v>
      </c>
      <c r="C4" s="320"/>
      <c r="D4" s="320"/>
      <c r="E4" s="320"/>
      <c r="F4" s="320"/>
      <c r="G4" s="437" t="s">
        <v>346</v>
      </c>
      <c r="H4" s="437" t="s">
        <v>347</v>
      </c>
      <c r="I4" s="438" t="s">
        <v>348</v>
      </c>
    </row>
    <row r="5" spans="2:9" ht="12.75">
      <c r="B5" s="151" t="s">
        <v>342</v>
      </c>
      <c r="C5" s="11"/>
      <c r="D5" s="11"/>
      <c r="E5" s="11"/>
      <c r="F5" s="11"/>
      <c r="G5" s="322">
        <f>Small_HCFs!F7*no_small_HCFs*Small_HCFs!F10+Medium_HCFs!G22*Medium_HCFs!E10*number_medium_HCFs+(Large_HCFs!G25*number_large_A_HCFs+Large_HCFs!Q25*number_large_B_HCFs)*Large_HCFs!E10+Clusters!G39*number_medium_clusters+Clusters!Q39*number_large_clusters</f>
        <v>422477</v>
      </c>
      <c r="H5" s="322">
        <f>G5/1000</f>
        <v>422.477</v>
      </c>
      <c r="I5" s="323"/>
    </row>
    <row r="6" spans="2:9" ht="12.75">
      <c r="B6" s="18" t="s">
        <v>343</v>
      </c>
      <c r="C6" s="16"/>
      <c r="D6" s="16"/>
      <c r="E6" s="16"/>
      <c r="F6" s="16"/>
      <c r="G6" s="321">
        <f>G5*(1+1/ratio_inf_to_noninf)</f>
        <v>2816513.333333333</v>
      </c>
      <c r="H6" s="321">
        <f>G6/1000</f>
        <v>2816.513333333333</v>
      </c>
      <c r="I6" s="324"/>
    </row>
    <row r="7" spans="2:9" ht="12.75">
      <c r="B7" s="18" t="s">
        <v>344</v>
      </c>
      <c r="C7" s="16"/>
      <c r="D7" s="16"/>
      <c r="E7" s="16"/>
      <c r="F7" s="16"/>
      <c r="G7" s="321">
        <f>Small_HCFs!F9*no_small_HCFs*Small_HCFs!F10+Medium_HCFs!E9*beds_per_medium_HCF*Medium_HCFs!E10*number_medium_HCFs+Large_HCFs!E9*(beds_per_large_A_HCF*number_large_A_HCFs+beds_per_large_B_HCF*number_large_B_HCFs)*Large_HCFs!E10+Clusters!G42*number_medium_clusters+Clusters!Q42*number_large_clusters</f>
        <v>16981.78</v>
      </c>
      <c r="H7" s="321">
        <f>G7/1000</f>
        <v>16.98178</v>
      </c>
      <c r="I7" s="324"/>
    </row>
    <row r="8" spans="2:9" ht="13.5" thickBot="1">
      <c r="B8" s="53" t="s">
        <v>345</v>
      </c>
      <c r="C8" s="54"/>
      <c r="D8" s="54"/>
      <c r="E8" s="54"/>
      <c r="F8" s="54"/>
      <c r="G8" s="325"/>
      <c r="H8" s="325"/>
      <c r="I8" s="326">
        <f>G7/weight_syringe</f>
        <v>1698177.9999999998</v>
      </c>
    </row>
    <row r="9" spans="2:9" ht="13.5" thickBot="1">
      <c r="B9" s="6"/>
      <c r="C9" s="6"/>
      <c r="D9" s="6"/>
      <c r="E9" s="6"/>
      <c r="F9" s="6"/>
      <c r="G9" s="459"/>
      <c r="H9" s="459"/>
      <c r="I9" s="459"/>
    </row>
    <row r="10" spans="1:11" ht="16.5" thickBot="1">
      <c r="A10" s="312"/>
      <c r="B10" s="319" t="s">
        <v>464</v>
      </c>
      <c r="C10" s="332"/>
      <c r="D10" s="320"/>
      <c r="E10" s="320"/>
      <c r="F10" s="320"/>
      <c r="G10" s="320"/>
      <c r="H10" s="437" t="s">
        <v>187</v>
      </c>
      <c r="I10" s="437" t="s">
        <v>187</v>
      </c>
      <c r="J10" s="438" t="s">
        <v>356</v>
      </c>
      <c r="K10" s="312"/>
    </row>
    <row r="11" spans="2:11" ht="12.75">
      <c r="B11" s="5" t="s">
        <v>316</v>
      </c>
      <c r="C11" s="6"/>
      <c r="D11" s="6"/>
      <c r="E11" s="6"/>
      <c r="F11" s="6"/>
      <c r="G11" s="328"/>
      <c r="H11" s="331">
        <f>Small_HCFs!I30</f>
        <v>151166.87820100383</v>
      </c>
      <c r="I11" s="331"/>
      <c r="J11" s="335"/>
      <c r="K11" s="312"/>
    </row>
    <row r="12" spans="2:11" ht="12.75">
      <c r="B12" s="5" t="s">
        <v>207</v>
      </c>
      <c r="C12" s="6"/>
      <c r="D12" s="6"/>
      <c r="E12" s="6"/>
      <c r="F12" s="6"/>
      <c r="G12" s="328"/>
      <c r="H12" s="327">
        <f>Small_HCFs!I42</f>
        <v>139331.9017500502</v>
      </c>
      <c r="I12" s="327"/>
      <c r="J12" s="336"/>
      <c r="K12" s="312"/>
    </row>
    <row r="13" spans="2:11" ht="12.75">
      <c r="B13" s="5"/>
      <c r="C13" s="6" t="s">
        <v>117</v>
      </c>
      <c r="D13" s="6"/>
      <c r="E13" s="6"/>
      <c r="F13" s="6"/>
      <c r="G13" s="328"/>
      <c r="H13" s="327"/>
      <c r="I13" s="327">
        <f>SUM(H11:H12)</f>
        <v>290498.779951054</v>
      </c>
      <c r="J13" s="336">
        <f>I13*Small_HCFs!F9/Small_HCFs!F7</f>
        <v>5809.975599021081</v>
      </c>
      <c r="K13" s="312"/>
    </row>
    <row r="14" spans="2:11" ht="12.75">
      <c r="B14" s="5" t="s">
        <v>116</v>
      </c>
      <c r="C14" s="6"/>
      <c r="D14" s="6"/>
      <c r="E14" s="6"/>
      <c r="F14" s="6"/>
      <c r="G14" s="328"/>
      <c r="H14" s="327">
        <f>Medium_HCFs!I39</f>
        <v>17152.696399829172</v>
      </c>
      <c r="I14" s="327"/>
      <c r="J14" s="336"/>
      <c r="K14" s="312"/>
    </row>
    <row r="15" spans="2:11" ht="12.75">
      <c r="B15" s="5" t="s">
        <v>162</v>
      </c>
      <c r="C15" s="6"/>
      <c r="D15" s="6"/>
      <c r="E15" s="6"/>
      <c r="F15" s="6"/>
      <c r="G15" s="328"/>
      <c r="H15" s="327">
        <f>Medium_HCFs!I52</f>
        <v>68121.59726999147</v>
      </c>
      <c r="I15" s="327"/>
      <c r="J15" s="336"/>
      <c r="K15" s="312"/>
    </row>
    <row r="16" spans="2:11" ht="12.75">
      <c r="B16" s="5"/>
      <c r="C16" s="6" t="s">
        <v>118</v>
      </c>
      <c r="D16" s="6"/>
      <c r="E16" s="6"/>
      <c r="F16" s="6"/>
      <c r="G16" s="328"/>
      <c r="H16" s="327"/>
      <c r="I16" s="327">
        <f>SUM(H14:H15)</f>
        <v>85274.29366982065</v>
      </c>
      <c r="J16" s="336">
        <f>I16*Medium_HCFs!E9/Medium_HCFs!E7</f>
        <v>4263.714683491032</v>
      </c>
      <c r="K16" s="312"/>
    </row>
    <row r="17" spans="2:11" ht="12.75">
      <c r="B17" s="5" t="s">
        <v>164</v>
      </c>
      <c r="C17" s="6"/>
      <c r="D17" s="6"/>
      <c r="E17" s="6"/>
      <c r="F17" s="6"/>
      <c r="G17" s="328"/>
      <c r="H17" s="327">
        <f>Large_HCFs!I46</f>
        <v>40007.199208391634</v>
      </c>
      <c r="I17" s="327"/>
      <c r="J17" s="336"/>
      <c r="K17" s="312"/>
    </row>
    <row r="18" spans="2:11" ht="12.75">
      <c r="B18" s="5" t="s">
        <v>166</v>
      </c>
      <c r="C18" s="6"/>
      <c r="D18" s="6"/>
      <c r="E18" s="6"/>
      <c r="F18" s="6"/>
      <c r="G18" s="328"/>
      <c r="H18" s="327">
        <f>Large_HCFs!I58</f>
        <v>113676.23662708625</v>
      </c>
      <c r="I18" s="327"/>
      <c r="J18" s="336"/>
      <c r="K18" s="312"/>
    </row>
    <row r="19" spans="2:11" ht="12.75">
      <c r="B19" s="5"/>
      <c r="C19" s="6" t="s">
        <v>119</v>
      </c>
      <c r="D19" s="6"/>
      <c r="E19" s="6"/>
      <c r="F19" s="6"/>
      <c r="G19" s="328"/>
      <c r="H19" s="327"/>
      <c r="I19" s="327">
        <f>SUM(H17:H18)</f>
        <v>153683.4358354779</v>
      </c>
      <c r="J19" s="336">
        <f>I19*Large_HCFs!E9/Large_HCFs!E7</f>
        <v>7684.171791773894</v>
      </c>
      <c r="K19" s="312"/>
    </row>
    <row r="20" spans="2:11" ht="12.75">
      <c r="B20" s="5" t="s">
        <v>22</v>
      </c>
      <c r="C20" s="6"/>
      <c r="D20" s="6"/>
      <c r="E20" s="6"/>
      <c r="F20" s="6"/>
      <c r="G20" s="328"/>
      <c r="H20" s="327">
        <f>Large_HCFs!S46</f>
        <v>0</v>
      </c>
      <c r="I20" s="327"/>
      <c r="J20" s="336"/>
      <c r="K20" s="312"/>
    </row>
    <row r="21" spans="2:11" ht="12.75">
      <c r="B21" s="5" t="s">
        <v>24</v>
      </c>
      <c r="C21" s="6"/>
      <c r="D21" s="6"/>
      <c r="E21" s="6"/>
      <c r="F21" s="6"/>
      <c r="G21" s="328"/>
      <c r="H21" s="327">
        <f>Large_HCFs!S58</f>
        <v>0</v>
      </c>
      <c r="I21" s="327"/>
      <c r="J21" s="336"/>
      <c r="K21" s="312"/>
    </row>
    <row r="22" spans="2:11" ht="12.75">
      <c r="B22" s="5"/>
      <c r="C22" s="6" t="s">
        <v>25</v>
      </c>
      <c r="D22" s="6"/>
      <c r="E22" s="6"/>
      <c r="F22" s="6"/>
      <c r="G22" s="328"/>
      <c r="H22" s="327"/>
      <c r="I22" s="327">
        <f>SUM(H20:H21)</f>
        <v>0</v>
      </c>
      <c r="J22" s="336">
        <f>I22*Large_HCFs!E9/Large_HCFs!E7</f>
        <v>0</v>
      </c>
      <c r="K22" s="312"/>
    </row>
    <row r="23" spans="2:11" ht="12.75">
      <c r="B23" s="5" t="s">
        <v>137</v>
      </c>
      <c r="C23" s="6"/>
      <c r="D23" s="6"/>
      <c r="E23" s="6"/>
      <c r="F23" s="6"/>
      <c r="G23" s="328"/>
      <c r="H23" s="327">
        <f>Clusters!I60</f>
        <v>11540.185665315588</v>
      </c>
      <c r="I23" s="327"/>
      <c r="J23" s="336"/>
      <c r="K23" s="312"/>
    </row>
    <row r="24" spans="2:11" ht="12.75">
      <c r="B24" s="5" t="s">
        <v>71</v>
      </c>
      <c r="C24" s="6"/>
      <c r="D24" s="6"/>
      <c r="E24" s="6"/>
      <c r="F24" s="6"/>
      <c r="G24" s="328"/>
      <c r="H24" s="327">
        <f>Clusters!I71</f>
        <v>55531.729283265784</v>
      </c>
      <c r="I24" s="327"/>
      <c r="J24" s="336"/>
      <c r="K24" s="312"/>
    </row>
    <row r="25" spans="2:11" ht="12.75">
      <c r="B25" s="5" t="s">
        <v>81</v>
      </c>
      <c r="C25" s="6"/>
      <c r="D25" s="6"/>
      <c r="E25" s="6"/>
      <c r="F25" s="6"/>
      <c r="G25" s="328"/>
      <c r="H25" s="327">
        <f>Clusters!I80</f>
        <v>21117.574178361898</v>
      </c>
      <c r="I25" s="327"/>
      <c r="J25" s="336"/>
      <c r="K25" s="312"/>
    </row>
    <row r="26" spans="2:11" ht="12.75">
      <c r="B26" s="5" t="s">
        <v>99</v>
      </c>
      <c r="C26" s="6"/>
      <c r="D26" s="6"/>
      <c r="E26" s="6"/>
      <c r="F26" s="6"/>
      <c r="G26" s="328"/>
      <c r="H26" s="327">
        <f>Clusters!I93</f>
        <v>22741.203372918095</v>
      </c>
      <c r="I26" s="327"/>
      <c r="J26" s="336"/>
      <c r="K26" s="312"/>
    </row>
    <row r="27" spans="2:12" ht="12.75">
      <c r="B27" s="5"/>
      <c r="C27" s="6" t="s">
        <v>335</v>
      </c>
      <c r="D27" s="6"/>
      <c r="E27" s="6"/>
      <c r="F27" s="6"/>
      <c r="G27" s="328"/>
      <c r="H27" s="327"/>
      <c r="I27" s="327">
        <f>SUM(H23:H26)</f>
        <v>110930.69249986137</v>
      </c>
      <c r="J27" s="336">
        <f>IF(AND(number_small_HCFs_medium_cluster=0,total_beds_medium_HCFs_medium_cluster=0,total_beds_large_HCFs_medium_cluster=0),0,I27*((Clusters!F11/Clusters!F8)*(number_small_HCFs_medium_cluster*Clusters!F8*Clusters!F12/(number_small_HCFs_medium_cluster*Clusters!F8*Clusters!F12+(total_beds_medium_HCFs_medium_cluster+total_beds_large_HCFs_medium_cluster)*Clusters!F7*Clusters!F14))+(Clusters!F10/Clusters!F7*((total_beds_medium_HCFs_medium_cluster+total_beds_large_HCFs_medium_cluster)*Clusters!F7*Clusters!F14)/(number_small_HCFs_medium_cluster*Clusters!F8*Clusters!F12+(total_beds_medium_HCFs_medium_cluster+total_beds_large_HCFs_medium_cluster)*Clusters!F7*Clusters!F14))))</f>
        <v>4968.612240285166</v>
      </c>
      <c r="K27" s="334"/>
      <c r="L27" s="313"/>
    </row>
    <row r="28" spans="2:11" ht="12.75">
      <c r="B28" s="5" t="s">
        <v>111</v>
      </c>
      <c r="C28" s="6"/>
      <c r="D28" s="6"/>
      <c r="E28" s="6"/>
      <c r="F28" s="6"/>
      <c r="G28" s="328"/>
      <c r="H28" s="327">
        <f>Clusters!S60</f>
        <v>0</v>
      </c>
      <c r="I28" s="327"/>
      <c r="J28" s="336"/>
      <c r="K28" s="312"/>
    </row>
    <row r="29" spans="2:11" ht="12.75">
      <c r="B29" s="5" t="s">
        <v>52</v>
      </c>
      <c r="C29" s="6"/>
      <c r="D29" s="6"/>
      <c r="E29" s="6"/>
      <c r="F29" s="6"/>
      <c r="G29" s="328"/>
      <c r="H29" s="327">
        <f>Clusters!S71</f>
        <v>0</v>
      </c>
      <c r="I29" s="327"/>
      <c r="J29" s="336"/>
      <c r="K29" s="312"/>
    </row>
    <row r="30" spans="2:11" ht="12.75">
      <c r="B30" s="5" t="s">
        <v>47</v>
      </c>
      <c r="C30" s="6"/>
      <c r="D30" s="6"/>
      <c r="E30" s="6"/>
      <c r="F30" s="6"/>
      <c r="G30" s="328"/>
      <c r="H30" s="327">
        <f>Clusters!S80</f>
        <v>0</v>
      </c>
      <c r="I30" s="327"/>
      <c r="J30" s="336"/>
      <c r="K30" s="312"/>
    </row>
    <row r="31" spans="2:11" ht="12.75">
      <c r="B31" s="5" t="s">
        <v>50</v>
      </c>
      <c r="C31" s="6"/>
      <c r="D31" s="6"/>
      <c r="E31" s="6"/>
      <c r="F31" s="6"/>
      <c r="G31" s="328"/>
      <c r="H31" s="327">
        <f>Clusters!S93</f>
        <v>0</v>
      </c>
      <c r="I31" s="327"/>
      <c r="J31" s="336"/>
      <c r="K31" s="312"/>
    </row>
    <row r="32" spans="2:12" ht="12.75">
      <c r="B32" s="5"/>
      <c r="C32" s="6" t="s">
        <v>336</v>
      </c>
      <c r="D32" s="6"/>
      <c r="E32" s="6"/>
      <c r="F32" s="6"/>
      <c r="G32" s="328"/>
      <c r="H32" s="327"/>
      <c r="I32" s="327">
        <f>SUM(H28:H31)</f>
        <v>0</v>
      </c>
      <c r="J32" s="336">
        <f>IF(AND(number_small_HCFs_large_cluster=0,total_beds_medium_HCFs_large_cluster=0,total_beds_large_HCFs_large_cluster=0),0,I32*((Clusters!F11/Clusters!F8)*(number_small_HCFs_large_cluster*Clusters!F8*Clusters!F12/(number_small_HCFs_large_cluster*Clusters!F8*Clusters!F12+(total_beds_medium_HCFs_large_cluster+total_beds_large_HCFs_large_cluster)*Clusters!F7*Clusters!F14))+(Clusters!F10/Clusters!F7*((total_beds_medium_HCFs_large_cluster+total_beds_large_HCFs_large_cluster)*Clusters!F7*Clusters!F14)/(number_small_HCFs_large_cluster*Clusters!F8*Clusters!F12+(total_beds_medium_HCFs_large_cluster+total_beds_large_HCFs_large_cluster)*Clusters!F7*Clusters!F14))))</f>
        <v>0</v>
      </c>
      <c r="K32" s="334"/>
      <c r="L32" s="318"/>
    </row>
    <row r="33" spans="2:11" ht="12.75">
      <c r="B33" s="5" t="s">
        <v>199</v>
      </c>
      <c r="C33" s="6"/>
      <c r="D33" s="6"/>
      <c r="E33" s="6"/>
      <c r="F33" s="6"/>
      <c r="G33" s="328"/>
      <c r="H33" s="327">
        <f>National!I30</f>
        <v>2716.07188585367</v>
      </c>
      <c r="I33" s="327"/>
      <c r="J33" s="336"/>
      <c r="K33" s="312"/>
    </row>
    <row r="34" spans="2:11" ht="12.75">
      <c r="B34" s="5" t="s">
        <v>114</v>
      </c>
      <c r="C34" s="6"/>
      <c r="D34" s="6"/>
      <c r="E34" s="6"/>
      <c r="F34" s="6"/>
      <c r="G34" s="328"/>
      <c r="H34" s="327">
        <f>National!I39</f>
        <v>14205.803594292684</v>
      </c>
      <c r="I34" s="327"/>
      <c r="J34" s="336"/>
      <c r="K34" s="312"/>
    </row>
    <row r="35" spans="2:11" ht="12.75">
      <c r="B35" s="75"/>
      <c r="C35" s="9" t="s">
        <v>120</v>
      </c>
      <c r="D35" s="9"/>
      <c r="E35" s="9"/>
      <c r="F35" s="9"/>
      <c r="G35" s="10"/>
      <c r="H35" s="327"/>
      <c r="I35" s="327">
        <f>SUM(H33:H34)</f>
        <v>16921.875480146355</v>
      </c>
      <c r="J35" s="336">
        <f>I35*Large_HCFs!E9/Large_HCFs!E7</f>
        <v>846.0937740073177</v>
      </c>
      <c r="K35" s="312"/>
    </row>
    <row r="36" spans="2:11" ht="13.5" thickBot="1">
      <c r="B36" s="79" t="s">
        <v>339</v>
      </c>
      <c r="C36" s="80"/>
      <c r="D36" s="80"/>
      <c r="E36" s="80"/>
      <c r="F36" s="80"/>
      <c r="G36" s="80"/>
      <c r="H36" s="337"/>
      <c r="I36" s="436">
        <f>SUM(I13:I35)</f>
        <v>657309.0774363603</v>
      </c>
      <c r="J36" s="344">
        <f>SUM(J13:J35)</f>
        <v>23572.56808857849</v>
      </c>
      <c r="K36" s="312"/>
    </row>
    <row r="37" spans="2:11" ht="7.5" customHeight="1" thickBot="1">
      <c r="B37" s="338"/>
      <c r="C37" s="4"/>
      <c r="D37" s="4"/>
      <c r="E37" s="4"/>
      <c r="F37" s="4"/>
      <c r="G37" s="4"/>
      <c r="H37" s="339"/>
      <c r="I37" s="339"/>
      <c r="J37" s="17"/>
      <c r="K37" s="6"/>
    </row>
    <row r="38" spans="2:11" ht="14.25" customHeight="1" thickBot="1">
      <c r="B38" s="319" t="s">
        <v>41</v>
      </c>
      <c r="C38" s="341"/>
      <c r="D38" s="341"/>
      <c r="E38" s="341"/>
      <c r="F38" s="341"/>
      <c r="G38" s="341"/>
      <c r="H38" s="342"/>
      <c r="I38" s="342"/>
      <c r="J38" s="333"/>
      <c r="K38" s="6"/>
    </row>
    <row r="39" spans="2:11" ht="12.75">
      <c r="B39" s="5" t="s">
        <v>366</v>
      </c>
      <c r="C39" s="6"/>
      <c r="D39" s="6"/>
      <c r="E39" s="6"/>
      <c r="F39" s="6"/>
      <c r="G39" s="6"/>
      <c r="H39" s="329"/>
      <c r="I39" s="340">
        <f>I36/total_beds_national</f>
        <v>168.54078908624624</v>
      </c>
      <c r="J39" s="7" t="s">
        <v>361</v>
      </c>
      <c r="K39" s="6"/>
    </row>
    <row r="40" spans="2:10" ht="12.75">
      <c r="B40" s="5" t="s">
        <v>367</v>
      </c>
      <c r="C40" s="6"/>
      <c r="D40" s="6"/>
      <c r="E40" s="6"/>
      <c r="F40" s="6"/>
      <c r="G40" s="6"/>
      <c r="H40" s="329"/>
      <c r="I40" s="340">
        <f>I36/(total_beds_national+no_small_HCFs)</f>
        <v>151.03609316092837</v>
      </c>
      <c r="J40" s="7" t="s">
        <v>365</v>
      </c>
    </row>
    <row r="41" spans="2:10" ht="12.75">
      <c r="B41" s="5" t="s">
        <v>368</v>
      </c>
      <c r="C41" s="6"/>
      <c r="D41" s="6"/>
      <c r="E41" s="6"/>
      <c r="F41" s="6"/>
      <c r="G41" s="6"/>
      <c r="H41" s="329"/>
      <c r="I41" s="340">
        <f>I36/population</f>
        <v>0.37241307503476506</v>
      </c>
      <c r="J41" s="7" t="s">
        <v>362</v>
      </c>
    </row>
    <row r="42" spans="2:10" ht="12.75">
      <c r="B42" s="5" t="s">
        <v>341</v>
      </c>
      <c r="C42" s="6"/>
      <c r="D42" s="6"/>
      <c r="E42" s="6"/>
      <c r="F42" s="6"/>
      <c r="G42" s="6"/>
      <c r="H42" s="329"/>
      <c r="I42" s="478">
        <f>I36/budget*100</f>
        <v>0.17990969808442756</v>
      </c>
      <c r="J42" s="7" t="s">
        <v>360</v>
      </c>
    </row>
    <row r="43" spans="2:10" ht="12.75">
      <c r="B43" s="5" t="s">
        <v>434</v>
      </c>
      <c r="C43" s="6"/>
      <c r="D43" s="6"/>
      <c r="E43" s="6"/>
      <c r="F43" s="6"/>
      <c r="G43" s="6"/>
      <c r="H43" s="329"/>
      <c r="I43" s="478">
        <f>I36/gdp*100</f>
        <v>6.371126077700497</v>
      </c>
      <c r="J43" s="7" t="s">
        <v>360</v>
      </c>
    </row>
    <row r="44" spans="2:10" ht="12.75">
      <c r="B44" s="5" t="s">
        <v>369</v>
      </c>
      <c r="C44" s="6"/>
      <c r="D44" s="6"/>
      <c r="E44" s="6"/>
      <c r="F44" s="6"/>
      <c r="G44" s="6"/>
      <c r="H44" s="329"/>
      <c r="I44" s="340">
        <f>I36/G5</f>
        <v>1.5558458269594801</v>
      </c>
      <c r="J44" s="7" t="s">
        <v>363</v>
      </c>
    </row>
    <row r="45" spans="2:10" ht="12.75">
      <c r="B45" s="5" t="s">
        <v>370</v>
      </c>
      <c r="C45" s="6"/>
      <c r="D45" s="6"/>
      <c r="E45" s="6"/>
      <c r="F45" s="6"/>
      <c r="G45" s="6"/>
      <c r="H45" s="329"/>
      <c r="I45" s="340">
        <f>I36/G6</f>
        <v>0.23337687404392204</v>
      </c>
      <c r="J45" s="7" t="s">
        <v>363</v>
      </c>
    </row>
    <row r="46" spans="2:10" ht="12.75">
      <c r="B46" s="5" t="s">
        <v>371</v>
      </c>
      <c r="C46" s="6"/>
      <c r="D46" s="6"/>
      <c r="E46" s="6"/>
      <c r="F46" s="6"/>
      <c r="G46" s="6"/>
      <c r="H46" s="329"/>
      <c r="I46" s="340">
        <f>J36/G7</f>
        <v>1.3881093789095424</v>
      </c>
      <c r="J46" s="7" t="s">
        <v>363</v>
      </c>
    </row>
    <row r="47" spans="2:10" ht="13.5" thickBot="1">
      <c r="B47" s="314" t="s">
        <v>372</v>
      </c>
      <c r="C47" s="330"/>
      <c r="D47" s="330"/>
      <c r="E47" s="330"/>
      <c r="F47" s="330"/>
      <c r="G47" s="330"/>
      <c r="H47" s="330"/>
      <c r="I47" s="343">
        <f>J36/I8</f>
        <v>0.013881093789095427</v>
      </c>
      <c r="J47" s="315" t="s">
        <v>364</v>
      </c>
    </row>
    <row r="48" ht="13.5" thickBot="1"/>
    <row r="49" spans="2:10" ht="16.5" thickBot="1">
      <c r="B49" s="319" t="s">
        <v>465</v>
      </c>
      <c r="C49" s="332"/>
      <c r="D49" s="320"/>
      <c r="E49" s="320"/>
      <c r="F49" s="320"/>
      <c r="G49" s="320"/>
      <c r="H49" s="437" t="s">
        <v>187</v>
      </c>
      <c r="I49" s="437" t="s">
        <v>187</v>
      </c>
      <c r="J49" s="438" t="s">
        <v>356</v>
      </c>
    </row>
    <row r="50" spans="2:10" ht="12.75">
      <c r="B50" s="5" t="s">
        <v>316</v>
      </c>
      <c r="C50" s="6"/>
      <c r="D50" s="6"/>
      <c r="E50" s="6"/>
      <c r="F50" s="6"/>
      <c r="G50" s="328"/>
      <c r="H50" s="331">
        <f>Small_HCFs!I54</f>
        <v>360070.48416055244</v>
      </c>
      <c r="I50" s="331"/>
      <c r="J50" s="335"/>
    </row>
    <row r="51" spans="2:10" ht="12.75">
      <c r="B51" s="5" t="s">
        <v>207</v>
      </c>
      <c r="C51" s="6"/>
      <c r="D51" s="6"/>
      <c r="E51" s="6"/>
      <c r="F51" s="6"/>
      <c r="G51" s="328"/>
      <c r="H51" s="327">
        <f>Small_HCFs!I64</f>
        <v>80049.56420802763</v>
      </c>
      <c r="I51" s="327"/>
      <c r="J51" s="336"/>
    </row>
    <row r="52" spans="2:10" ht="12.75">
      <c r="B52" s="5"/>
      <c r="C52" s="6" t="s">
        <v>117</v>
      </c>
      <c r="D52" s="6"/>
      <c r="E52" s="6"/>
      <c r="F52" s="6"/>
      <c r="G52" s="328"/>
      <c r="H52" s="327"/>
      <c r="I52" s="327">
        <f>SUM(H50:H51)</f>
        <v>440120.04836858006</v>
      </c>
      <c r="J52" s="336">
        <f>I52*Small_HCFs!F9/Small_HCFs!F7</f>
        <v>8802.400967371601</v>
      </c>
    </row>
    <row r="53" spans="2:10" ht="12.75">
      <c r="B53" s="5" t="s">
        <v>116</v>
      </c>
      <c r="C53" s="6"/>
      <c r="D53" s="6"/>
      <c r="E53" s="6"/>
      <c r="F53" s="6"/>
      <c r="G53" s="328"/>
      <c r="H53" s="327">
        <f>Medium_HCFs!I67</f>
        <v>21742.18349624497</v>
      </c>
      <c r="I53" s="327"/>
      <c r="J53" s="336"/>
    </row>
    <row r="54" spans="2:10" ht="12.75">
      <c r="B54" s="5" t="s">
        <v>162</v>
      </c>
      <c r="C54" s="6"/>
      <c r="D54" s="6"/>
      <c r="E54" s="6"/>
      <c r="F54" s="6"/>
      <c r="G54" s="328"/>
      <c r="H54" s="327">
        <f>Medium_HCFs!I78</f>
        <v>68750.85917481224</v>
      </c>
      <c r="I54" s="327"/>
      <c r="J54" s="336"/>
    </row>
    <row r="55" spans="2:10" ht="12.75">
      <c r="B55" s="5"/>
      <c r="C55" s="6" t="s">
        <v>118</v>
      </c>
      <c r="D55" s="6"/>
      <c r="E55" s="6"/>
      <c r="F55" s="6"/>
      <c r="G55" s="328"/>
      <c r="H55" s="327"/>
      <c r="I55" s="327">
        <f>SUM(H53:H54)</f>
        <v>90493.0426710572</v>
      </c>
      <c r="J55" s="336">
        <f>I55*Medium_HCFs!E9/Medium_HCFs!E7</f>
        <v>4524.6521335528605</v>
      </c>
    </row>
    <row r="56" spans="2:10" ht="12.75">
      <c r="B56" s="5" t="s">
        <v>164</v>
      </c>
      <c r="C56" s="6"/>
      <c r="D56" s="6"/>
      <c r="E56" s="6"/>
      <c r="F56" s="6"/>
      <c r="G56" s="328"/>
      <c r="H56" s="327">
        <f>Large_HCFs!I73</f>
        <v>43375.04208668248</v>
      </c>
      <c r="I56" s="327"/>
      <c r="J56" s="336"/>
    </row>
    <row r="57" spans="2:10" ht="12.75">
      <c r="B57" s="5" t="s">
        <v>166</v>
      </c>
      <c r="C57" s="6"/>
      <c r="D57" s="6"/>
      <c r="E57" s="6"/>
      <c r="F57" s="6"/>
      <c r="G57" s="328"/>
      <c r="H57" s="327">
        <f>Large_HCFs!I84</f>
        <v>117001.15210433413</v>
      </c>
      <c r="I57" s="327"/>
      <c r="J57" s="336"/>
    </row>
    <row r="58" spans="2:10" ht="12.75">
      <c r="B58" s="5"/>
      <c r="C58" s="6" t="s">
        <v>119</v>
      </c>
      <c r="D58" s="6"/>
      <c r="E58" s="6"/>
      <c r="F58" s="6"/>
      <c r="G58" s="328"/>
      <c r="H58" s="327"/>
      <c r="I58" s="327">
        <f>SUM(H56:H57)</f>
        <v>160376.1941910166</v>
      </c>
      <c r="J58" s="336">
        <f>I58*Large_HCFs!E9/Large_HCFs!E7</f>
        <v>8018.80970955083</v>
      </c>
    </row>
    <row r="59" spans="2:10" ht="12.75">
      <c r="B59" s="5" t="s">
        <v>22</v>
      </c>
      <c r="C59" s="6"/>
      <c r="D59" s="6"/>
      <c r="E59" s="6"/>
      <c r="F59" s="6"/>
      <c r="G59" s="328"/>
      <c r="H59" s="327">
        <f>Large_HCFs!S73</f>
        <v>0</v>
      </c>
      <c r="I59" s="327"/>
      <c r="J59" s="336"/>
    </row>
    <row r="60" spans="2:10" ht="12.75">
      <c r="B60" s="5" t="s">
        <v>24</v>
      </c>
      <c r="C60" s="6"/>
      <c r="D60" s="6"/>
      <c r="E60" s="6"/>
      <c r="F60" s="6"/>
      <c r="G60" s="328"/>
      <c r="H60" s="327">
        <f>Large_HCFs!S84</f>
        <v>0</v>
      </c>
      <c r="I60" s="327"/>
      <c r="J60" s="336"/>
    </row>
    <row r="61" spans="2:10" ht="12.75">
      <c r="B61" s="5"/>
      <c r="C61" s="6" t="s">
        <v>25</v>
      </c>
      <c r="D61" s="6"/>
      <c r="E61" s="6"/>
      <c r="F61" s="6"/>
      <c r="G61" s="328"/>
      <c r="H61" s="327"/>
      <c r="I61" s="327">
        <f>SUM(H59:H60)</f>
        <v>0</v>
      </c>
      <c r="J61" s="336">
        <f>I61*Large_HCFs!E9/Large_HCFs!E7</f>
        <v>0</v>
      </c>
    </row>
    <row r="62" spans="2:10" ht="12.75">
      <c r="B62" s="5" t="s">
        <v>137</v>
      </c>
      <c r="C62" s="6"/>
      <c r="D62" s="6"/>
      <c r="E62" s="6"/>
      <c r="F62" s="6"/>
      <c r="G62" s="328"/>
      <c r="H62" s="327">
        <f>Clusters!I109</f>
        <v>6363.7253204880035</v>
      </c>
      <c r="I62" s="327"/>
      <c r="J62" s="336"/>
    </row>
    <row r="63" spans="2:10" ht="12.75">
      <c r="B63" s="5" t="s">
        <v>71</v>
      </c>
      <c r="C63" s="6"/>
      <c r="D63" s="6"/>
      <c r="E63" s="6"/>
      <c r="F63" s="6"/>
      <c r="G63" s="328"/>
      <c r="H63" s="327">
        <f>Clusters!I121</f>
        <v>57864.6262660244</v>
      </c>
      <c r="I63" s="327"/>
      <c r="J63" s="336"/>
    </row>
    <row r="64" spans="2:10" ht="12.75">
      <c r="B64" s="5" t="s">
        <v>81</v>
      </c>
      <c r="C64" s="6"/>
      <c r="D64" s="6"/>
      <c r="E64" s="6"/>
      <c r="F64" s="6"/>
      <c r="G64" s="328"/>
      <c r="H64" s="327">
        <f>Clusters!I131</f>
        <v>24233.389816365347</v>
      </c>
      <c r="I64" s="327"/>
      <c r="J64" s="336"/>
    </row>
    <row r="65" spans="2:10" ht="12.75">
      <c r="B65" s="5" t="s">
        <v>99</v>
      </c>
      <c r="C65" s="6"/>
      <c r="D65" s="6"/>
      <c r="E65" s="6"/>
      <c r="F65" s="6"/>
      <c r="G65" s="328"/>
      <c r="H65" s="327">
        <f>Clusters!I142</f>
        <v>19364.501490818267</v>
      </c>
      <c r="I65" s="327"/>
      <c r="J65" s="336"/>
    </row>
    <row r="66" spans="2:10" ht="12.75">
      <c r="B66" s="5"/>
      <c r="C66" s="6" t="s">
        <v>335</v>
      </c>
      <c r="D66" s="6"/>
      <c r="E66" s="6"/>
      <c r="F66" s="6"/>
      <c r="G66" s="328"/>
      <c r="H66" s="327"/>
      <c r="I66" s="327">
        <f>SUM(H62:H65)</f>
        <v>107826.24289369602</v>
      </c>
      <c r="J66" s="336">
        <f>IF(AND(number_small_HCFs_medium_cluster=0,total_beds_medium_HCFs_medium_cluster=0,total_beds_large_HCFs_medium_cluster=0),0,I66*((Clusters!F11/Clusters!F8)*(number_small_HCFs_medium_cluster*Clusters!F8*Clusters!F12/(number_small_HCFs_medium_cluster*Clusters!F8*Clusters!F12+(total_beds_medium_HCFs_medium_cluster+total_beds_large_HCFs_medium_cluster)*Clusters!F7*Clusters!F14))+(Clusters!F10/Clusters!F7*((total_beds_medium_HCFs_medium_cluster+total_beds_large_HCFs_medium_cluster)*Clusters!F7*Clusters!F14)/(number_small_HCFs_medium_cluster*Clusters!F8*Clusters!F12+(total_beds_medium_HCFs_medium_cluster+total_beds_large_HCFs_medium_cluster)*Clusters!F7*Clusters!F14))))</f>
        <v>4829.563200159856</v>
      </c>
    </row>
    <row r="67" spans="2:10" ht="12.75">
      <c r="B67" s="5" t="s">
        <v>111</v>
      </c>
      <c r="C67" s="6"/>
      <c r="D67" s="6"/>
      <c r="E67" s="6"/>
      <c r="F67" s="6"/>
      <c r="G67" s="328"/>
      <c r="H67" s="327">
        <f>Clusters!S109</f>
        <v>0</v>
      </c>
      <c r="I67" s="327"/>
      <c r="J67" s="336"/>
    </row>
    <row r="68" spans="2:10" ht="12.75">
      <c r="B68" s="5" t="s">
        <v>52</v>
      </c>
      <c r="C68" s="6"/>
      <c r="D68" s="6"/>
      <c r="E68" s="6"/>
      <c r="F68" s="6"/>
      <c r="G68" s="328"/>
      <c r="H68" s="327">
        <f>Clusters!S121</f>
        <v>0</v>
      </c>
      <c r="I68" s="327"/>
      <c r="J68" s="336"/>
    </row>
    <row r="69" spans="2:10" ht="12.75">
      <c r="B69" s="5" t="s">
        <v>47</v>
      </c>
      <c r="C69" s="6"/>
      <c r="D69" s="6"/>
      <c r="E69" s="6"/>
      <c r="F69" s="6"/>
      <c r="G69" s="328"/>
      <c r="H69" s="327">
        <f>Clusters!S131</f>
        <v>0</v>
      </c>
      <c r="I69" s="327"/>
      <c r="J69" s="336"/>
    </row>
    <row r="70" spans="2:10" ht="12.75">
      <c r="B70" s="5" t="s">
        <v>50</v>
      </c>
      <c r="C70" s="6"/>
      <c r="D70" s="6"/>
      <c r="E70" s="6"/>
      <c r="F70" s="6"/>
      <c r="G70" s="328"/>
      <c r="H70" s="327">
        <f>Clusters!S142</f>
        <v>0</v>
      </c>
      <c r="I70" s="327"/>
      <c r="J70" s="336"/>
    </row>
    <row r="71" spans="2:10" ht="12.75">
      <c r="B71" s="5"/>
      <c r="C71" s="6" t="s">
        <v>336</v>
      </c>
      <c r="D71" s="6"/>
      <c r="E71" s="6"/>
      <c r="F71" s="6"/>
      <c r="G71" s="328"/>
      <c r="H71" s="327"/>
      <c r="I71" s="327">
        <f>SUM(H67:H70)</f>
        <v>0</v>
      </c>
      <c r="J71" s="336">
        <f>IF(AND(number_small_HCFs_large_cluster=0,total_beds_medium_HCFs_large_cluster=0,total_beds_large_HCFs_large_cluster=0),0,I71*((Clusters!F11/Clusters!F8)*(number_small_HCFs_large_cluster*Clusters!F8*Clusters!F12/(number_small_HCFs_large_cluster*Clusters!F8*Clusters!F12+(total_beds_medium_HCFs_large_cluster+total_beds_large_HCFs_large_cluster)*Clusters!F7*Clusters!F14))+(Clusters!F10/Clusters!F7*((total_beds_medium_HCFs_large_cluster+total_beds_large_HCFs_large_cluster)*Clusters!F7*Clusters!F14)/(number_small_HCFs_large_cluster*Clusters!F8*Clusters!F12+(total_beds_medium_HCFs_large_cluster+total_beds_large_HCFs_large_cluster)*Clusters!F7*Clusters!F14))))</f>
        <v>0</v>
      </c>
    </row>
    <row r="72" spans="2:10" ht="12.75">
      <c r="B72" s="5" t="s">
        <v>199</v>
      </c>
      <c r="C72" s="6"/>
      <c r="D72" s="6"/>
      <c r="E72" s="6"/>
      <c r="F72" s="6"/>
      <c r="G72" s="328"/>
      <c r="H72" s="327">
        <f>National!I30</f>
        <v>2716.07188585367</v>
      </c>
      <c r="I72" s="327"/>
      <c r="J72" s="336"/>
    </row>
    <row r="73" spans="2:10" ht="12.75">
      <c r="B73" s="5" t="s">
        <v>114</v>
      </c>
      <c r="C73" s="6"/>
      <c r="D73" s="6"/>
      <c r="E73" s="6"/>
      <c r="F73" s="6"/>
      <c r="G73" s="328"/>
      <c r="H73" s="327">
        <f>National!I39</f>
        <v>14205.803594292684</v>
      </c>
      <c r="I73" s="327"/>
      <c r="J73" s="336"/>
    </row>
    <row r="74" spans="2:10" ht="12.75">
      <c r="B74" s="75"/>
      <c r="C74" s="9" t="s">
        <v>120</v>
      </c>
      <c r="D74" s="9"/>
      <c r="E74" s="9"/>
      <c r="F74" s="9"/>
      <c r="G74" s="10"/>
      <c r="H74" s="327"/>
      <c r="I74" s="327">
        <f>SUM(H72:H73)</f>
        <v>16921.875480146355</v>
      </c>
      <c r="J74" s="336">
        <f>I74*Large_HCFs!E9/Large_HCFs!E7</f>
        <v>846.0937740073177</v>
      </c>
    </row>
    <row r="75" spans="2:10" ht="13.5" thickBot="1">
      <c r="B75" s="79" t="s">
        <v>373</v>
      </c>
      <c r="C75" s="80"/>
      <c r="D75" s="80"/>
      <c r="E75" s="80"/>
      <c r="F75" s="80"/>
      <c r="G75" s="80"/>
      <c r="H75" s="337"/>
      <c r="I75" s="436">
        <f>SUM(I52:I74)</f>
        <v>815737.4036044963</v>
      </c>
      <c r="J75" s="344">
        <f>SUM(J52:J74)</f>
        <v>27021.519784642467</v>
      </c>
    </row>
    <row r="76" spans="2:10" ht="6.75" customHeight="1" thickBot="1">
      <c r="B76" s="338"/>
      <c r="C76" s="4"/>
      <c r="D76" s="4"/>
      <c r="E76" s="4"/>
      <c r="F76" s="4"/>
      <c r="G76" s="4"/>
      <c r="H76" s="339"/>
      <c r="I76" s="339"/>
      <c r="J76" s="17"/>
    </row>
    <row r="77" spans="2:10" ht="16.5" thickBot="1">
      <c r="B77" s="319" t="s">
        <v>42</v>
      </c>
      <c r="C77" s="341"/>
      <c r="D77" s="341"/>
      <c r="E77" s="341"/>
      <c r="F77" s="341"/>
      <c r="G77" s="341"/>
      <c r="H77" s="342"/>
      <c r="I77" s="342"/>
      <c r="J77" s="333"/>
    </row>
    <row r="78" spans="2:10" ht="12.75">
      <c r="B78" s="5" t="s">
        <v>366</v>
      </c>
      <c r="C78" s="6"/>
      <c r="D78" s="6"/>
      <c r="E78" s="6"/>
      <c r="F78" s="6"/>
      <c r="G78" s="6"/>
      <c r="H78" s="329"/>
      <c r="I78" s="340">
        <f>I75/total_beds_national</f>
        <v>209.1634368216657</v>
      </c>
      <c r="J78" s="7" t="s">
        <v>361</v>
      </c>
    </row>
    <row r="79" spans="2:10" ht="12.75">
      <c r="B79" s="5" t="s">
        <v>367</v>
      </c>
      <c r="C79" s="6"/>
      <c r="D79" s="6"/>
      <c r="E79" s="6"/>
      <c r="F79" s="6"/>
      <c r="G79" s="6"/>
      <c r="H79" s="329"/>
      <c r="I79" s="340">
        <f>I75/(total_beds_national+no_small_HCFs)</f>
        <v>187.43966075470962</v>
      </c>
      <c r="J79" s="7" t="s">
        <v>365</v>
      </c>
    </row>
    <row r="80" spans="2:10" ht="12.75">
      <c r="B80" s="5" t="s">
        <v>368</v>
      </c>
      <c r="C80" s="6"/>
      <c r="D80" s="6"/>
      <c r="E80" s="6"/>
      <c r="F80" s="6"/>
      <c r="G80" s="6"/>
      <c r="H80" s="329"/>
      <c r="I80" s="340">
        <f>I75/population</f>
        <v>0.4621741663481565</v>
      </c>
      <c r="J80" s="7" t="s">
        <v>362</v>
      </c>
    </row>
    <row r="81" spans="2:10" ht="12.75">
      <c r="B81" s="5" t="s">
        <v>341</v>
      </c>
      <c r="C81" s="6"/>
      <c r="D81" s="6"/>
      <c r="E81" s="6"/>
      <c r="F81" s="6"/>
      <c r="G81" s="6"/>
      <c r="H81" s="329"/>
      <c r="I81" s="477">
        <f>I75/budget*100</f>
        <v>0.2232725441295442</v>
      </c>
      <c r="J81" s="7" t="s">
        <v>360</v>
      </c>
    </row>
    <row r="82" spans="2:10" ht="12.75">
      <c r="B82" s="5" t="s">
        <v>434</v>
      </c>
      <c r="C82" s="6"/>
      <c r="D82" s="6"/>
      <c r="E82" s="6"/>
      <c r="F82" s="6"/>
      <c r="G82" s="6"/>
      <c r="H82" s="329"/>
      <c r="I82" s="477">
        <f>I75/gdp*100</f>
        <v>7.906730673689021</v>
      </c>
      <c r="J82" s="7" t="s">
        <v>360</v>
      </c>
    </row>
    <row r="83" spans="2:10" ht="12.75">
      <c r="B83" s="5" t="s">
        <v>369</v>
      </c>
      <c r="C83" s="6"/>
      <c r="D83" s="6"/>
      <c r="E83" s="6"/>
      <c r="F83" s="6"/>
      <c r="G83" s="6"/>
      <c r="H83" s="329"/>
      <c r="I83" s="340">
        <f>I75/G5</f>
        <v>1.9308445278784319</v>
      </c>
      <c r="J83" s="7" t="s">
        <v>363</v>
      </c>
    </row>
    <row r="84" spans="2:10" ht="12.75">
      <c r="B84" s="5" t="s">
        <v>370</v>
      </c>
      <c r="C84" s="6"/>
      <c r="D84" s="6"/>
      <c r="E84" s="6"/>
      <c r="F84" s="6"/>
      <c r="G84" s="6"/>
      <c r="H84" s="329"/>
      <c r="I84" s="340">
        <f>I75/G6</f>
        <v>0.2896266791817648</v>
      </c>
      <c r="J84" s="7" t="s">
        <v>363</v>
      </c>
    </row>
    <row r="85" spans="2:10" ht="12.75">
      <c r="B85" s="5" t="s">
        <v>371</v>
      </c>
      <c r="C85" s="6"/>
      <c r="D85" s="6"/>
      <c r="E85" s="6"/>
      <c r="F85" s="6"/>
      <c r="G85" s="6"/>
      <c r="H85" s="329"/>
      <c r="I85" s="340">
        <f>J75/G7</f>
        <v>1.5912065628363146</v>
      </c>
      <c r="J85" s="7" t="s">
        <v>363</v>
      </c>
    </row>
    <row r="86" spans="2:10" ht="13.5" thickBot="1">
      <c r="B86" s="314" t="s">
        <v>372</v>
      </c>
      <c r="C86" s="330"/>
      <c r="D86" s="330"/>
      <c r="E86" s="330"/>
      <c r="F86" s="330"/>
      <c r="G86" s="330"/>
      <c r="H86" s="330"/>
      <c r="I86" s="343">
        <f>J75/I8</f>
        <v>0.015912065628363146</v>
      </c>
      <c r="J86" s="315" t="s">
        <v>364</v>
      </c>
    </row>
    <row r="87" ht="13.5" thickBot="1"/>
    <row r="88" spans="2:10" ht="16.5" thickBot="1">
      <c r="B88" s="319" t="s">
        <v>466</v>
      </c>
      <c r="C88" s="332"/>
      <c r="D88" s="320"/>
      <c r="E88" s="320"/>
      <c r="F88" s="320"/>
      <c r="G88" s="320"/>
      <c r="H88" s="437" t="s">
        <v>187</v>
      </c>
      <c r="I88" s="437" t="s">
        <v>187</v>
      </c>
      <c r="J88" s="438" t="s">
        <v>356</v>
      </c>
    </row>
    <row r="89" spans="2:10" ht="12.75">
      <c r="B89" s="5" t="s">
        <v>316</v>
      </c>
      <c r="C89" s="6"/>
      <c r="D89" s="6"/>
      <c r="E89" s="6"/>
      <c r="F89" s="6"/>
      <c r="G89" s="328"/>
      <c r="H89" s="331">
        <f>Small_HCFs!I77</f>
        <v>148488.55978434853</v>
      </c>
      <c r="I89" s="331"/>
      <c r="J89" s="335"/>
    </row>
    <row r="90" spans="2:10" ht="12.75">
      <c r="B90" s="5" t="s">
        <v>207</v>
      </c>
      <c r="C90" s="6"/>
      <c r="D90" s="6"/>
      <c r="E90" s="6"/>
      <c r="F90" s="6"/>
      <c r="G90" s="328"/>
      <c r="H90" s="327">
        <f>Small_HCFs!I89</f>
        <v>91737.98582921743</v>
      </c>
      <c r="I90" s="327"/>
      <c r="J90" s="336"/>
    </row>
    <row r="91" spans="2:10" ht="12.75">
      <c r="B91" s="5"/>
      <c r="C91" s="6" t="s">
        <v>117</v>
      </c>
      <c r="D91" s="6"/>
      <c r="E91" s="6"/>
      <c r="F91" s="6"/>
      <c r="G91" s="328"/>
      <c r="H91" s="327"/>
      <c r="I91" s="327">
        <f>SUM(H89:H90)</f>
        <v>240226.54561356595</v>
      </c>
      <c r="J91" s="336">
        <f>I91*Small_HCFs!F9/Small_HCFs!F7</f>
        <v>4804.530912271319</v>
      </c>
    </row>
    <row r="92" spans="2:10" ht="12.75">
      <c r="B92" s="5" t="s">
        <v>116</v>
      </c>
      <c r="C92" s="6"/>
      <c r="D92" s="6"/>
      <c r="E92" s="6"/>
      <c r="F92" s="6"/>
      <c r="G92" s="328"/>
      <c r="H92" s="327">
        <f>Medium_HCFs!I94</f>
        <v>17446.767546366493</v>
      </c>
      <c r="I92" s="327"/>
      <c r="J92" s="336"/>
    </row>
    <row r="93" spans="2:10" ht="12.75">
      <c r="B93" s="5" t="s">
        <v>162</v>
      </c>
      <c r="C93" s="6"/>
      <c r="D93" s="6"/>
      <c r="E93" s="6"/>
      <c r="F93" s="6"/>
      <c r="G93" s="328"/>
      <c r="H93" s="327">
        <f>Medium_HCFs!I107</f>
        <v>68136.30082731832</v>
      </c>
      <c r="I93" s="327"/>
      <c r="J93" s="336"/>
    </row>
    <row r="94" spans="2:10" ht="12.75">
      <c r="B94" s="5"/>
      <c r="C94" s="6" t="s">
        <v>118</v>
      </c>
      <c r="D94" s="6"/>
      <c r="E94" s="6"/>
      <c r="F94" s="6"/>
      <c r="G94" s="328"/>
      <c r="H94" s="327"/>
      <c r="I94" s="327">
        <f>SUM(H92:H93)</f>
        <v>85583.06837368482</v>
      </c>
      <c r="J94" s="336">
        <f>I94*Medium_HCFs!E9/Medium_HCFs!E7</f>
        <v>4279.153418684241</v>
      </c>
    </row>
    <row r="95" spans="2:10" ht="12.75">
      <c r="B95" s="5" t="s">
        <v>164</v>
      </c>
      <c r="C95" s="6"/>
      <c r="D95" s="6"/>
      <c r="E95" s="6"/>
      <c r="F95" s="6"/>
      <c r="G95" s="328"/>
      <c r="H95" s="327">
        <f>Large_HCFs!I101</f>
        <v>41292.93402653199</v>
      </c>
      <c r="I95" s="327"/>
      <c r="J95" s="336"/>
    </row>
    <row r="96" spans="2:10" ht="12.75">
      <c r="B96" s="5" t="s">
        <v>166</v>
      </c>
      <c r="C96" s="6"/>
      <c r="D96" s="6"/>
      <c r="E96" s="6"/>
      <c r="F96" s="6"/>
      <c r="G96" s="328"/>
      <c r="H96" s="327">
        <f>Large_HCFs!I113</f>
        <v>113740.52336799327</v>
      </c>
      <c r="I96" s="327"/>
      <c r="J96" s="336"/>
    </row>
    <row r="97" spans="2:10" ht="12.75">
      <c r="B97" s="5"/>
      <c r="C97" s="6" t="s">
        <v>119</v>
      </c>
      <c r="D97" s="6"/>
      <c r="E97" s="6"/>
      <c r="F97" s="6"/>
      <c r="G97" s="328"/>
      <c r="H97" s="327"/>
      <c r="I97" s="327">
        <f>SUM(H95:H96)</f>
        <v>155033.45739452526</v>
      </c>
      <c r="J97" s="336">
        <f>I97*Large_HCFs!E9/Large_HCFs!E7</f>
        <v>7751.672869726263</v>
      </c>
    </row>
    <row r="98" spans="2:10" ht="12.75">
      <c r="B98" s="5" t="s">
        <v>22</v>
      </c>
      <c r="C98" s="6"/>
      <c r="D98" s="6"/>
      <c r="E98" s="6"/>
      <c r="F98" s="6"/>
      <c r="G98" s="328"/>
      <c r="H98" s="327">
        <f>Large_HCFs!S101</f>
        <v>0</v>
      </c>
      <c r="I98" s="327"/>
      <c r="J98" s="336"/>
    </row>
    <row r="99" spans="2:10" ht="12.75">
      <c r="B99" s="5" t="s">
        <v>24</v>
      </c>
      <c r="C99" s="6"/>
      <c r="D99" s="6"/>
      <c r="E99" s="6"/>
      <c r="F99" s="6"/>
      <c r="G99" s="328"/>
      <c r="H99" s="327">
        <f>Large_HCFs!S113</f>
        <v>0</v>
      </c>
      <c r="I99" s="327"/>
      <c r="J99" s="336"/>
    </row>
    <row r="100" spans="2:10" ht="12.75">
      <c r="B100" s="5"/>
      <c r="C100" s="6" t="s">
        <v>25</v>
      </c>
      <c r="D100" s="6"/>
      <c r="E100" s="6"/>
      <c r="F100" s="6"/>
      <c r="G100" s="328"/>
      <c r="H100" s="327"/>
      <c r="I100" s="327">
        <f>SUM(H98:H99)</f>
        <v>0</v>
      </c>
      <c r="J100" s="336">
        <f>I100*Large_HCFs!E9/Large_HCFs!E7</f>
        <v>0</v>
      </c>
    </row>
    <row r="101" spans="2:10" ht="12.75">
      <c r="B101" s="5" t="s">
        <v>137</v>
      </c>
      <c r="C101" s="6"/>
      <c r="D101" s="6"/>
      <c r="E101" s="6"/>
      <c r="F101" s="6"/>
      <c r="G101" s="328"/>
      <c r="H101" s="327">
        <f>Clusters!I60</f>
        <v>11540.185665315588</v>
      </c>
      <c r="I101" s="327"/>
      <c r="J101" s="336"/>
    </row>
    <row r="102" spans="2:10" ht="12.75">
      <c r="B102" s="5" t="s">
        <v>71</v>
      </c>
      <c r="C102" s="6"/>
      <c r="D102" s="6"/>
      <c r="E102" s="6"/>
      <c r="F102" s="6"/>
      <c r="G102" s="328"/>
      <c r="H102" s="327">
        <f>Clusters!I71</f>
        <v>55531.729283265784</v>
      </c>
      <c r="I102" s="327"/>
      <c r="J102" s="336"/>
    </row>
    <row r="103" spans="2:10" ht="12.75">
      <c r="B103" s="5" t="s">
        <v>81</v>
      </c>
      <c r="C103" s="6"/>
      <c r="D103" s="6"/>
      <c r="E103" s="6"/>
      <c r="F103" s="6"/>
      <c r="G103" s="328"/>
      <c r="H103" s="327">
        <f>Clusters!I80</f>
        <v>21117.574178361898</v>
      </c>
      <c r="I103" s="327"/>
      <c r="J103" s="336"/>
    </row>
    <row r="104" spans="2:10" ht="12.75">
      <c r="B104" s="5" t="s">
        <v>99</v>
      </c>
      <c r="C104" s="6"/>
      <c r="D104" s="6"/>
      <c r="E104" s="6"/>
      <c r="F104" s="6"/>
      <c r="G104" s="328"/>
      <c r="H104" s="327">
        <f>Clusters!I93</f>
        <v>22741.203372918095</v>
      </c>
      <c r="I104" s="327"/>
      <c r="J104" s="336"/>
    </row>
    <row r="105" spans="2:10" ht="12.75">
      <c r="B105" s="5"/>
      <c r="C105" s="6" t="s">
        <v>335</v>
      </c>
      <c r="D105" s="6"/>
      <c r="E105" s="6"/>
      <c r="F105" s="6"/>
      <c r="G105" s="328"/>
      <c r="H105" s="327"/>
      <c r="I105" s="327">
        <f>SUM(H101:H104)</f>
        <v>110930.69249986137</v>
      </c>
      <c r="J105" s="336">
        <f>IF(AND(number_small_HCFs_medium_cluster=0,total_beds_medium_HCFs_medium_cluster=0,total_beds_large_HCFs_medium_cluster=0),0,I105*((Clusters!F11/Clusters!F8)*(number_small_HCFs_medium_cluster*Clusters!F8*Clusters!F12/(number_small_HCFs_medium_cluster*Clusters!F8*Clusters!F12+(total_beds_medium_HCFs_medium_cluster+total_beds_large_HCFs_medium_cluster)*Clusters!F7*Clusters!F14))+(Clusters!F10/Clusters!F7*((total_beds_medium_HCFs_medium_cluster+total_beds_large_HCFs_medium_cluster)*Clusters!F7*Clusters!F14)/(number_small_HCFs_medium_cluster*Clusters!F8*Clusters!F12+(total_beds_medium_HCFs_medium_cluster+total_beds_large_HCFs_medium_cluster)*Clusters!F7*Clusters!F14))))</f>
        <v>4968.612240285166</v>
      </c>
    </row>
    <row r="106" spans="2:10" ht="12.75">
      <c r="B106" s="5" t="s">
        <v>111</v>
      </c>
      <c r="C106" s="6"/>
      <c r="D106" s="6"/>
      <c r="E106" s="6"/>
      <c r="F106" s="6"/>
      <c r="G106" s="328"/>
      <c r="H106" s="327">
        <f>Clusters!S60</f>
        <v>0</v>
      </c>
      <c r="I106" s="327"/>
      <c r="J106" s="336"/>
    </row>
    <row r="107" spans="2:10" ht="12.75">
      <c r="B107" s="5" t="s">
        <v>52</v>
      </c>
      <c r="C107" s="6"/>
      <c r="D107" s="6"/>
      <c r="E107" s="6"/>
      <c r="F107" s="6"/>
      <c r="G107" s="328"/>
      <c r="H107" s="327">
        <f>Clusters!S71</f>
        <v>0</v>
      </c>
      <c r="I107" s="327"/>
      <c r="J107" s="336"/>
    </row>
    <row r="108" spans="2:10" ht="12.75">
      <c r="B108" s="5" t="s">
        <v>47</v>
      </c>
      <c r="C108" s="6"/>
      <c r="D108" s="6"/>
      <c r="E108" s="6"/>
      <c r="F108" s="6"/>
      <c r="G108" s="328"/>
      <c r="H108" s="327">
        <f>Clusters!S80</f>
        <v>0</v>
      </c>
      <c r="I108" s="327"/>
      <c r="J108" s="336"/>
    </row>
    <row r="109" spans="2:10" ht="12.75">
      <c r="B109" s="5" t="s">
        <v>50</v>
      </c>
      <c r="C109" s="6"/>
      <c r="D109" s="6"/>
      <c r="E109" s="6"/>
      <c r="F109" s="6"/>
      <c r="G109" s="328"/>
      <c r="H109" s="327">
        <f>Clusters!S93</f>
        <v>0</v>
      </c>
      <c r="I109" s="327"/>
      <c r="J109" s="336"/>
    </row>
    <row r="110" spans="2:10" ht="12.75">
      <c r="B110" s="5"/>
      <c r="C110" s="6" t="s">
        <v>336</v>
      </c>
      <c r="D110" s="6"/>
      <c r="E110" s="6"/>
      <c r="F110" s="6"/>
      <c r="G110" s="328"/>
      <c r="H110" s="327"/>
      <c r="I110" s="327">
        <f>SUM(H106:H109)</f>
        <v>0</v>
      </c>
      <c r="J110" s="336">
        <f>IF(AND(number_small_HCFs_large_cluster=0,total_beds_medium_HCFs_large_cluster=0,total_beds_large_HCFs_large_cluster=0),0,I110*((Clusters!F11/Clusters!F8)*(number_small_HCFs_large_cluster*Clusters!F8*Clusters!F12/(number_small_HCFs_large_cluster*Clusters!F8*Clusters!F12+(total_beds_medium_HCFs_large_cluster+total_beds_large_HCFs_large_cluster)*Clusters!F7*Clusters!F14))+(Clusters!F10/Clusters!F7*((total_beds_medium_HCFs_large_cluster+total_beds_large_HCFs_large_cluster)*Clusters!F7*Clusters!F14)/(number_small_HCFs_large_cluster*Clusters!F8*Clusters!F12+(total_beds_medium_HCFs_large_cluster+total_beds_large_HCFs_large_cluster)*Clusters!F7*Clusters!F14))))</f>
        <v>0</v>
      </c>
    </row>
    <row r="111" spans="2:10" ht="12.75">
      <c r="B111" s="5" t="s">
        <v>199</v>
      </c>
      <c r="C111" s="6"/>
      <c r="D111" s="6"/>
      <c r="E111" s="6"/>
      <c r="F111" s="6"/>
      <c r="G111" s="328"/>
      <c r="H111" s="327">
        <f>National!I30</f>
        <v>2716.07188585367</v>
      </c>
      <c r="I111" s="327"/>
      <c r="J111" s="336"/>
    </row>
    <row r="112" spans="2:10" ht="12.75">
      <c r="B112" s="5" t="s">
        <v>114</v>
      </c>
      <c r="C112" s="6"/>
      <c r="D112" s="6"/>
      <c r="E112" s="6"/>
      <c r="F112" s="6"/>
      <c r="G112" s="328"/>
      <c r="H112" s="327">
        <f>National!I39</f>
        <v>14205.803594292684</v>
      </c>
      <c r="I112" s="327"/>
      <c r="J112" s="336"/>
    </row>
    <row r="113" spans="2:10" ht="12.75">
      <c r="B113" s="75"/>
      <c r="C113" s="9" t="s">
        <v>120</v>
      </c>
      <c r="D113" s="9"/>
      <c r="E113" s="9"/>
      <c r="F113" s="9"/>
      <c r="G113" s="10"/>
      <c r="H113" s="327"/>
      <c r="I113" s="327">
        <f>SUM(H111:H112)</f>
        <v>16921.875480146355</v>
      </c>
      <c r="J113" s="336">
        <f>I113*Large_HCFs!E9/Large_HCFs!E7</f>
        <v>846.0937740073177</v>
      </c>
    </row>
    <row r="114" spans="2:10" ht="13.5" thickBot="1">
      <c r="B114" s="79" t="s">
        <v>374</v>
      </c>
      <c r="C114" s="80"/>
      <c r="D114" s="80"/>
      <c r="E114" s="80"/>
      <c r="F114" s="80"/>
      <c r="G114" s="80"/>
      <c r="H114" s="337"/>
      <c r="I114" s="436">
        <f>SUM(I91:I113)</f>
        <v>608695.6393617837</v>
      </c>
      <c r="J114" s="344">
        <f>SUM(J91:J113)</f>
        <v>22650.063214974303</v>
      </c>
    </row>
    <row r="115" spans="2:10" ht="6.75" customHeight="1" thickBot="1">
      <c r="B115" s="338"/>
      <c r="C115" s="4"/>
      <c r="D115" s="4"/>
      <c r="E115" s="4"/>
      <c r="F115" s="4"/>
      <c r="G115" s="4"/>
      <c r="H115" s="339"/>
      <c r="I115" s="339"/>
      <c r="J115" s="17"/>
    </row>
    <row r="116" spans="2:10" ht="16.5" thickBot="1">
      <c r="B116" s="319" t="s">
        <v>43</v>
      </c>
      <c r="C116" s="341"/>
      <c r="D116" s="341"/>
      <c r="E116" s="341"/>
      <c r="F116" s="341"/>
      <c r="G116" s="341"/>
      <c r="H116" s="342"/>
      <c r="I116" s="342"/>
      <c r="J116" s="333"/>
    </row>
    <row r="117" spans="2:10" ht="12.75">
      <c r="B117" s="5" t="s">
        <v>366</v>
      </c>
      <c r="C117" s="6"/>
      <c r="D117" s="6"/>
      <c r="E117" s="6"/>
      <c r="F117" s="6"/>
      <c r="G117" s="6"/>
      <c r="H117" s="329"/>
      <c r="I117" s="340">
        <f>I114/total_beds_national</f>
        <v>156.07580496455992</v>
      </c>
      <c r="J117" s="7" t="s">
        <v>361</v>
      </c>
    </row>
    <row r="118" spans="2:10" ht="12.75">
      <c r="B118" s="5" t="s">
        <v>367</v>
      </c>
      <c r="C118" s="6"/>
      <c r="D118" s="6"/>
      <c r="E118" s="6"/>
      <c r="F118" s="6"/>
      <c r="G118" s="6"/>
      <c r="H118" s="329"/>
      <c r="I118" s="340">
        <f>I114/(total_beds_national+no_small_HCFs)</f>
        <v>139.8657259562922</v>
      </c>
      <c r="J118" s="7" t="s">
        <v>365</v>
      </c>
    </row>
    <row r="119" spans="2:10" ht="12.75">
      <c r="B119" s="5" t="s">
        <v>368</v>
      </c>
      <c r="C119" s="6"/>
      <c r="D119" s="6"/>
      <c r="E119" s="6"/>
      <c r="F119" s="6"/>
      <c r="G119" s="6"/>
      <c r="H119" s="329"/>
      <c r="I119" s="340">
        <f>I114/population</f>
        <v>0.3448700506299058</v>
      </c>
      <c r="J119" s="7" t="s">
        <v>362</v>
      </c>
    </row>
    <row r="120" spans="2:10" ht="12.75">
      <c r="B120" s="5" t="s">
        <v>341</v>
      </c>
      <c r="C120" s="6"/>
      <c r="D120" s="6"/>
      <c r="E120" s="6"/>
      <c r="F120" s="6"/>
      <c r="G120" s="6"/>
      <c r="H120" s="329"/>
      <c r="I120" s="477">
        <f>I114/budget*100</f>
        <v>0.16660388919319122</v>
      </c>
      <c r="J120" s="7" t="s">
        <v>360</v>
      </c>
    </row>
    <row r="121" spans="2:10" ht="12.75">
      <c r="B121" s="5" t="s">
        <v>434</v>
      </c>
      <c r="C121" s="6"/>
      <c r="D121" s="6"/>
      <c r="E121" s="6"/>
      <c r="F121" s="6"/>
      <c r="G121" s="6"/>
      <c r="H121" s="329"/>
      <c r="I121" s="477">
        <f>I114/gdp*100</f>
        <v>5.899928655246523</v>
      </c>
      <c r="J121" s="7" t="s">
        <v>360</v>
      </c>
    </row>
    <row r="122" spans="2:10" ht="12.75">
      <c r="B122" s="5" t="s">
        <v>369</v>
      </c>
      <c r="C122" s="6"/>
      <c r="D122" s="6"/>
      <c r="E122" s="6"/>
      <c r="F122" s="6"/>
      <c r="G122" s="6"/>
      <c r="H122" s="329"/>
      <c r="I122" s="340">
        <f>I114/G5</f>
        <v>1.440778171028917</v>
      </c>
      <c r="J122" s="7" t="s">
        <v>363</v>
      </c>
    </row>
    <row r="123" spans="2:10" ht="12.75">
      <c r="B123" s="5" t="s">
        <v>370</v>
      </c>
      <c r="C123" s="6"/>
      <c r="D123" s="6"/>
      <c r="E123" s="6"/>
      <c r="F123" s="6"/>
      <c r="G123" s="6"/>
      <c r="H123" s="329"/>
      <c r="I123" s="340">
        <f>I114/G6</f>
        <v>0.21611672565433757</v>
      </c>
      <c r="J123" s="7" t="s">
        <v>363</v>
      </c>
    </row>
    <row r="124" spans="2:10" ht="12.75">
      <c r="B124" s="5" t="s">
        <v>371</v>
      </c>
      <c r="C124" s="6"/>
      <c r="D124" s="6"/>
      <c r="E124" s="6"/>
      <c r="F124" s="6"/>
      <c r="G124" s="6"/>
      <c r="H124" s="329"/>
      <c r="I124" s="340">
        <f>J114/G7</f>
        <v>1.333786164640827</v>
      </c>
      <c r="J124" s="7" t="s">
        <v>363</v>
      </c>
    </row>
    <row r="125" spans="2:10" ht="13.5" thickBot="1">
      <c r="B125" s="314" t="s">
        <v>372</v>
      </c>
      <c r="C125" s="330"/>
      <c r="D125" s="330"/>
      <c r="E125" s="330"/>
      <c r="F125" s="330"/>
      <c r="G125" s="330"/>
      <c r="H125" s="330"/>
      <c r="I125" s="343">
        <f>J114/I8</f>
        <v>0.013337861646408272</v>
      </c>
      <c r="J125" s="315" t="s">
        <v>364</v>
      </c>
    </row>
    <row r="126" ht="13.5" thickBot="1"/>
    <row r="127" spans="3:10" ht="15">
      <c r="C127" s="515" t="s">
        <v>457</v>
      </c>
      <c r="D127" s="516"/>
      <c r="E127" s="516"/>
      <c r="F127" s="516"/>
      <c r="G127" s="516"/>
      <c r="H127" s="516"/>
      <c r="I127" s="516"/>
      <c r="J127" s="517" t="s">
        <v>177</v>
      </c>
    </row>
    <row r="128" spans="3:10" ht="13.5" thickBot="1">
      <c r="C128" s="518" t="s">
        <v>458</v>
      </c>
      <c r="D128" s="511"/>
      <c r="E128" s="511"/>
      <c r="F128" s="511"/>
      <c r="G128" s="511"/>
      <c r="H128" s="511"/>
      <c r="I128" s="511"/>
      <c r="J128" s="519">
        <f>Small_HCFs!I93+Medium_HCFs!I111+Large_HCFs!I117+Large_HCFs!S117</f>
        <v>4719.336</v>
      </c>
    </row>
    <row r="129" ht="13.5" thickBot="1"/>
    <row r="130" spans="2:10" ht="16.5" thickBot="1">
      <c r="B130" s="319" t="s">
        <v>467</v>
      </c>
      <c r="C130" s="332"/>
      <c r="D130" s="320"/>
      <c r="E130" s="320"/>
      <c r="F130" s="320"/>
      <c r="G130" s="320"/>
      <c r="H130" s="437" t="s">
        <v>187</v>
      </c>
      <c r="I130" s="437" t="s">
        <v>187</v>
      </c>
      <c r="J130" s="438" t="s">
        <v>356</v>
      </c>
    </row>
    <row r="131" spans="2:10" ht="12.75">
      <c r="B131" s="5" t="s">
        <v>316</v>
      </c>
      <c r="C131" s="6"/>
      <c r="D131" s="6"/>
      <c r="E131" s="6"/>
      <c r="F131" s="6"/>
      <c r="G131" s="328"/>
      <c r="H131" s="331">
        <f>Small_HCFs!I106</f>
        <v>363718.4908933706</v>
      </c>
      <c r="I131" s="331"/>
      <c r="J131" s="335"/>
    </row>
    <row r="132" spans="2:10" ht="12.75">
      <c r="B132" s="5" t="s">
        <v>207</v>
      </c>
      <c r="C132" s="6"/>
      <c r="D132" s="6"/>
      <c r="E132" s="6"/>
      <c r="F132" s="6"/>
      <c r="G132" s="328"/>
      <c r="H132" s="327">
        <f>Small_HCFs!I116</f>
        <v>81824.58654466853</v>
      </c>
      <c r="I132" s="327"/>
      <c r="J132" s="336"/>
    </row>
    <row r="133" spans="2:10" ht="12.75">
      <c r="B133" s="5"/>
      <c r="C133" s="6" t="s">
        <v>117</v>
      </c>
      <c r="D133" s="6"/>
      <c r="E133" s="6"/>
      <c r="F133" s="6"/>
      <c r="G133" s="328"/>
      <c r="H133" s="327"/>
      <c r="I133" s="327">
        <f>SUM(H131:H132)</f>
        <v>445543.0774380391</v>
      </c>
      <c r="J133" s="336">
        <f>I133*Small_HCFs!F9/Small_HCFs!F7</f>
        <v>8910.861548760782</v>
      </c>
    </row>
    <row r="134" spans="2:10" ht="12.75">
      <c r="B134" s="5" t="s">
        <v>116</v>
      </c>
      <c r="C134" s="6"/>
      <c r="D134" s="6"/>
      <c r="E134" s="6"/>
      <c r="F134" s="6"/>
      <c r="G134" s="328"/>
      <c r="H134" s="327">
        <f>Medium_HCFs!I126</f>
        <v>21471.726360892517</v>
      </c>
      <c r="I134" s="327"/>
      <c r="J134" s="336"/>
    </row>
    <row r="135" spans="2:10" ht="12.75">
      <c r="B135" s="5" t="s">
        <v>162</v>
      </c>
      <c r="C135" s="6"/>
      <c r="D135" s="6"/>
      <c r="E135" s="6"/>
      <c r="F135" s="6"/>
      <c r="G135" s="328"/>
      <c r="H135" s="327">
        <f>Medium_HCFs!I137</f>
        <v>68737.33631804463</v>
      </c>
      <c r="I135" s="327"/>
      <c r="J135" s="336"/>
    </row>
    <row r="136" spans="2:10" ht="12.75">
      <c r="B136" s="5"/>
      <c r="C136" s="6" t="s">
        <v>118</v>
      </c>
      <c r="D136" s="6"/>
      <c r="E136" s="6"/>
      <c r="F136" s="6"/>
      <c r="G136" s="328"/>
      <c r="H136" s="327"/>
      <c r="I136" s="327">
        <f>SUM(H134:H135)</f>
        <v>90209.06267893715</v>
      </c>
      <c r="J136" s="336">
        <f>I136*Medium_HCFs!E9/Medium_HCFs!E7</f>
        <v>4510.453133946858</v>
      </c>
    </row>
    <row r="137" spans="2:10" ht="12.75">
      <c r="B137" s="5" t="s">
        <v>164</v>
      </c>
      <c r="C137" s="6"/>
      <c r="D137" s="6"/>
      <c r="E137" s="6"/>
      <c r="F137" s="6"/>
      <c r="G137" s="328"/>
      <c r="H137" s="327">
        <f>Large_HCFs!I131</f>
        <v>44023.877667806424</v>
      </c>
      <c r="I137" s="327"/>
      <c r="J137" s="336"/>
    </row>
    <row r="138" spans="2:10" ht="12.75">
      <c r="B138" s="5" t="s">
        <v>166</v>
      </c>
      <c r="C138" s="6"/>
      <c r="D138" s="6"/>
      <c r="E138" s="6"/>
      <c r="F138" s="6"/>
      <c r="G138" s="328"/>
      <c r="H138" s="327">
        <f>Large_HCFs!I142</f>
        <v>117033.59388339033</v>
      </c>
      <c r="I138" s="327"/>
      <c r="J138" s="336"/>
    </row>
    <row r="139" spans="2:10" ht="12.75">
      <c r="B139" s="5"/>
      <c r="C139" s="6" t="s">
        <v>119</v>
      </c>
      <c r="D139" s="6"/>
      <c r="E139" s="6"/>
      <c r="F139" s="6"/>
      <c r="G139" s="328"/>
      <c r="H139" s="327"/>
      <c r="I139" s="327">
        <f>SUM(H137:H138)</f>
        <v>161057.47155119677</v>
      </c>
      <c r="J139" s="336">
        <f>I139*Large_HCFs!E9/Large_HCFs!E7</f>
        <v>8052.873577559838</v>
      </c>
    </row>
    <row r="140" spans="2:10" ht="12.75">
      <c r="B140" s="5" t="s">
        <v>22</v>
      </c>
      <c r="C140" s="6"/>
      <c r="D140" s="6"/>
      <c r="E140" s="6"/>
      <c r="F140" s="6"/>
      <c r="G140" s="328"/>
      <c r="H140" s="327">
        <f>Large_HCFs!S131</f>
        <v>0</v>
      </c>
      <c r="I140" s="327"/>
      <c r="J140" s="336"/>
    </row>
    <row r="141" spans="2:10" ht="12.75">
      <c r="B141" s="5" t="s">
        <v>24</v>
      </c>
      <c r="C141" s="6"/>
      <c r="D141" s="6"/>
      <c r="E141" s="6"/>
      <c r="F141" s="6"/>
      <c r="G141" s="328"/>
      <c r="H141" s="327">
        <f>Large_HCFs!S142</f>
        <v>0</v>
      </c>
      <c r="I141" s="327"/>
      <c r="J141" s="336"/>
    </row>
    <row r="142" spans="2:10" ht="12.75">
      <c r="B142" s="5"/>
      <c r="C142" s="6" t="s">
        <v>25</v>
      </c>
      <c r="D142" s="6"/>
      <c r="E142" s="6"/>
      <c r="F142" s="6"/>
      <c r="G142" s="328"/>
      <c r="H142" s="327"/>
      <c r="I142" s="327">
        <f>SUM(H140:H141)</f>
        <v>0</v>
      </c>
      <c r="J142" s="336">
        <f>I142*Large_HCFs!E9/Large_HCFs!E7</f>
        <v>0</v>
      </c>
    </row>
    <row r="143" spans="2:10" ht="12.75">
      <c r="B143" s="5" t="s">
        <v>137</v>
      </c>
      <c r="C143" s="6"/>
      <c r="D143" s="6"/>
      <c r="E143" s="6"/>
      <c r="F143" s="6"/>
      <c r="G143" s="328"/>
      <c r="H143" s="327">
        <f>Clusters!I109</f>
        <v>6363.7253204880035</v>
      </c>
      <c r="I143" s="327"/>
      <c r="J143" s="336"/>
    </row>
    <row r="144" spans="2:10" ht="12.75">
      <c r="B144" s="5" t="s">
        <v>71</v>
      </c>
      <c r="C144" s="6"/>
      <c r="D144" s="6"/>
      <c r="E144" s="6"/>
      <c r="F144" s="6"/>
      <c r="G144" s="328"/>
      <c r="H144" s="327">
        <f>Clusters!I121</f>
        <v>57864.6262660244</v>
      </c>
      <c r="I144" s="327"/>
      <c r="J144" s="336"/>
    </row>
    <row r="145" spans="2:10" ht="12.75">
      <c r="B145" s="5" t="s">
        <v>81</v>
      </c>
      <c r="C145" s="6"/>
      <c r="D145" s="6"/>
      <c r="E145" s="6"/>
      <c r="F145" s="6"/>
      <c r="G145" s="328"/>
      <c r="H145" s="327">
        <f>Clusters!I131</f>
        <v>24233.389816365347</v>
      </c>
      <c r="I145" s="327"/>
      <c r="J145" s="336"/>
    </row>
    <row r="146" spans="2:10" ht="12.75">
      <c r="B146" s="5" t="s">
        <v>99</v>
      </c>
      <c r="C146" s="6"/>
      <c r="D146" s="6"/>
      <c r="E146" s="6"/>
      <c r="F146" s="6"/>
      <c r="G146" s="328"/>
      <c r="H146" s="327">
        <f>Clusters!I142</f>
        <v>19364.501490818267</v>
      </c>
      <c r="I146" s="327"/>
      <c r="J146" s="336"/>
    </row>
    <row r="147" spans="2:10" ht="12.75">
      <c r="B147" s="5"/>
      <c r="C147" s="6" t="s">
        <v>335</v>
      </c>
      <c r="D147" s="6"/>
      <c r="E147" s="6"/>
      <c r="F147" s="6"/>
      <c r="G147" s="328"/>
      <c r="H147" s="327"/>
      <c r="I147" s="327">
        <f>SUM(H143:H146)</f>
        <v>107826.24289369602</v>
      </c>
      <c r="J147" s="336">
        <f>IF(AND(number_small_HCFs_medium_cluster=0,total_beds_medium_HCFs_medium_cluster=0,total_beds_large_HCFs_medium_cluster=0),0,I147*((Clusters!F11/Clusters!F8)*(number_small_HCFs_medium_cluster*Clusters!F8*Clusters!F12/(number_small_HCFs_medium_cluster*Clusters!F8*Clusters!F12+(total_beds_medium_HCFs_medium_cluster+total_beds_large_HCFs_medium_cluster)*Clusters!F7*Clusters!F14))+(Clusters!F10/Clusters!F7*((total_beds_medium_HCFs_medium_cluster+total_beds_large_HCFs_medium_cluster)*Clusters!F7*Clusters!F14)/(number_small_HCFs_medium_cluster*Clusters!F8*Clusters!F12+(total_beds_medium_HCFs_medium_cluster+total_beds_large_HCFs_medium_cluster)*Clusters!F7*Clusters!F14))))</f>
        <v>4829.563200159856</v>
      </c>
    </row>
    <row r="148" spans="2:10" ht="12.75">
      <c r="B148" s="5" t="s">
        <v>111</v>
      </c>
      <c r="C148" s="6"/>
      <c r="D148" s="6"/>
      <c r="E148" s="6"/>
      <c r="F148" s="6"/>
      <c r="G148" s="328"/>
      <c r="H148" s="327">
        <f>Clusters!S109</f>
        <v>0</v>
      </c>
      <c r="I148" s="327"/>
      <c r="J148" s="336"/>
    </row>
    <row r="149" spans="2:10" ht="12.75">
      <c r="B149" s="5" t="s">
        <v>52</v>
      </c>
      <c r="C149" s="6"/>
      <c r="D149" s="6"/>
      <c r="E149" s="6"/>
      <c r="F149" s="6"/>
      <c r="G149" s="328"/>
      <c r="H149" s="327">
        <f>Clusters!S121</f>
        <v>0</v>
      </c>
      <c r="I149" s="327"/>
      <c r="J149" s="336"/>
    </row>
    <row r="150" spans="2:10" ht="12.75">
      <c r="B150" s="5" t="s">
        <v>47</v>
      </c>
      <c r="C150" s="6"/>
      <c r="D150" s="6"/>
      <c r="E150" s="6"/>
      <c r="F150" s="6"/>
      <c r="G150" s="328"/>
      <c r="H150" s="327">
        <f>Clusters!S131</f>
        <v>0</v>
      </c>
      <c r="I150" s="327"/>
      <c r="J150" s="336"/>
    </row>
    <row r="151" spans="2:10" ht="12.75">
      <c r="B151" s="5" t="s">
        <v>50</v>
      </c>
      <c r="C151" s="6"/>
      <c r="D151" s="6"/>
      <c r="E151" s="6"/>
      <c r="F151" s="6"/>
      <c r="G151" s="328"/>
      <c r="H151" s="327">
        <f>Clusters!S142</f>
        <v>0</v>
      </c>
      <c r="I151" s="327"/>
      <c r="J151" s="336"/>
    </row>
    <row r="152" spans="2:10" ht="12.75">
      <c r="B152" s="5"/>
      <c r="C152" s="6" t="s">
        <v>336</v>
      </c>
      <c r="D152" s="6"/>
      <c r="E152" s="6"/>
      <c r="F152" s="6"/>
      <c r="G152" s="328"/>
      <c r="H152" s="327"/>
      <c r="I152" s="327">
        <f>SUM(H148:H151)</f>
        <v>0</v>
      </c>
      <c r="J152" s="336">
        <f>IF(AND(number_small_HCFs_large_cluster=0,total_beds_medium_HCFs_large_cluster=0,total_beds_large_HCFs_large_cluster=0),0,I152*((Clusters!F11/Clusters!F8)*(number_small_HCFs_large_cluster*Clusters!F8*Clusters!F12/(number_small_HCFs_large_cluster*Clusters!F8*Clusters!F12+(total_beds_medium_HCFs_large_cluster+total_beds_large_HCFs_large_cluster)*Clusters!F7*Clusters!F14))+(Clusters!F10/Clusters!F7*((total_beds_medium_HCFs_large_cluster+total_beds_large_HCFs_large_cluster)*Clusters!F7*Clusters!F14)/(number_small_HCFs_large_cluster*Clusters!F8*Clusters!F12+(total_beds_medium_HCFs_large_cluster+total_beds_large_HCFs_large_cluster)*Clusters!F7*Clusters!F14))))</f>
        <v>0</v>
      </c>
    </row>
    <row r="153" spans="2:10" ht="12.75">
      <c r="B153" s="5" t="s">
        <v>199</v>
      </c>
      <c r="C153" s="6"/>
      <c r="D153" s="6"/>
      <c r="E153" s="6"/>
      <c r="F153" s="6"/>
      <c r="G153" s="328"/>
      <c r="H153" s="327">
        <f>National!I30</f>
        <v>2716.07188585367</v>
      </c>
      <c r="I153" s="327"/>
      <c r="J153" s="336"/>
    </row>
    <row r="154" spans="2:10" ht="12.75">
      <c r="B154" s="5" t="s">
        <v>114</v>
      </c>
      <c r="C154" s="6"/>
      <c r="D154" s="6"/>
      <c r="E154" s="6"/>
      <c r="F154" s="6"/>
      <c r="G154" s="328"/>
      <c r="H154" s="327">
        <f>National!I39</f>
        <v>14205.803594292684</v>
      </c>
      <c r="I154" s="327"/>
      <c r="J154" s="336"/>
    </row>
    <row r="155" spans="2:10" ht="12.75">
      <c r="B155" s="75"/>
      <c r="C155" s="9" t="s">
        <v>120</v>
      </c>
      <c r="D155" s="9"/>
      <c r="E155" s="9"/>
      <c r="F155" s="9"/>
      <c r="G155" s="10"/>
      <c r="H155" s="327"/>
      <c r="I155" s="327">
        <f>SUM(H153:H154)</f>
        <v>16921.875480146355</v>
      </c>
      <c r="J155" s="336">
        <f>I155*Large_HCFs!E9/Large_HCFs!E7</f>
        <v>846.0937740073177</v>
      </c>
    </row>
    <row r="156" spans="2:10" ht="13.5" thickBot="1">
      <c r="B156" s="79" t="s">
        <v>375</v>
      </c>
      <c r="C156" s="80"/>
      <c r="D156" s="80"/>
      <c r="E156" s="80"/>
      <c r="F156" s="80"/>
      <c r="G156" s="80"/>
      <c r="H156" s="337"/>
      <c r="I156" s="436">
        <f>SUM(I133:I155)</f>
        <v>821557.7300420154</v>
      </c>
      <c r="J156" s="344">
        <f>SUM(J133:J155)</f>
        <v>27149.84523443465</v>
      </c>
    </row>
    <row r="157" spans="2:10" ht="8.25" customHeight="1" thickBot="1">
      <c r="B157" s="338"/>
      <c r="C157" s="4"/>
      <c r="D157" s="4"/>
      <c r="E157" s="4"/>
      <c r="F157" s="4"/>
      <c r="G157" s="4"/>
      <c r="H157" s="339"/>
      <c r="I157" s="339"/>
      <c r="J157" s="17"/>
    </row>
    <row r="158" spans="2:10" ht="16.5" thickBot="1">
      <c r="B158" s="319" t="s">
        <v>44</v>
      </c>
      <c r="C158" s="341"/>
      <c r="D158" s="341"/>
      <c r="E158" s="341"/>
      <c r="F158" s="341"/>
      <c r="G158" s="341"/>
      <c r="H158" s="342"/>
      <c r="I158" s="342"/>
      <c r="J158" s="333"/>
    </row>
    <row r="159" spans="2:10" ht="12.75">
      <c r="B159" s="5" t="s">
        <v>366</v>
      </c>
      <c r="C159" s="6"/>
      <c r="D159" s="6"/>
      <c r="E159" s="6"/>
      <c r="F159" s="6"/>
      <c r="G159" s="6"/>
      <c r="H159" s="329"/>
      <c r="I159" s="340">
        <f>I156/total_beds_national</f>
        <v>210.65582821590138</v>
      </c>
      <c r="J159" s="7" t="s">
        <v>361</v>
      </c>
    </row>
    <row r="160" spans="2:10" ht="12.75">
      <c r="B160" s="5" t="s">
        <v>367</v>
      </c>
      <c r="C160" s="6"/>
      <c r="D160" s="6"/>
      <c r="E160" s="6"/>
      <c r="F160" s="6"/>
      <c r="G160" s="6"/>
      <c r="H160" s="329"/>
      <c r="I160" s="340">
        <f>I156/(total_beds_national+no_small_HCFs)</f>
        <v>188.77705193980134</v>
      </c>
      <c r="J160" s="7" t="s">
        <v>365</v>
      </c>
    </row>
    <row r="161" spans="2:10" ht="12.75">
      <c r="B161" s="5" t="s">
        <v>368</v>
      </c>
      <c r="C161" s="6"/>
      <c r="D161" s="6"/>
      <c r="E161" s="6"/>
      <c r="F161" s="6"/>
      <c r="G161" s="6"/>
      <c r="H161" s="329"/>
      <c r="I161" s="340">
        <f>I156/population</f>
        <v>0.4654718017235215</v>
      </c>
      <c r="J161" s="7" t="s">
        <v>362</v>
      </c>
    </row>
    <row r="162" spans="2:10" ht="12.75">
      <c r="B162" s="5" t="s">
        <v>341</v>
      </c>
      <c r="C162" s="6"/>
      <c r="D162" s="6"/>
      <c r="E162" s="6"/>
      <c r="F162" s="6"/>
      <c r="G162" s="6"/>
      <c r="H162" s="329"/>
      <c r="I162" s="477">
        <f>I156/budget*100</f>
        <v>0.2248656046973534</v>
      </c>
      <c r="J162" s="7" t="s">
        <v>360</v>
      </c>
    </row>
    <row r="163" spans="2:10" ht="12.75">
      <c r="B163" s="5" t="s">
        <v>434</v>
      </c>
      <c r="C163" s="6"/>
      <c r="D163" s="6"/>
      <c r="E163" s="6"/>
      <c r="F163" s="6"/>
      <c r="G163" s="6"/>
      <c r="H163" s="329"/>
      <c r="I163" s="477">
        <f>I156/gdp*100</f>
        <v>7.963145585364112</v>
      </c>
      <c r="J163" s="7" t="s">
        <v>360</v>
      </c>
    </row>
    <row r="164" spans="2:10" ht="12.75">
      <c r="B164" s="5" t="s">
        <v>369</v>
      </c>
      <c r="C164" s="6"/>
      <c r="D164" s="6"/>
      <c r="E164" s="6"/>
      <c r="F164" s="6"/>
      <c r="G164" s="6"/>
      <c r="H164" s="329"/>
      <c r="I164" s="340">
        <f>I156/G5</f>
        <v>1.9446211984132047</v>
      </c>
      <c r="J164" s="7" t="s">
        <v>363</v>
      </c>
    </row>
    <row r="165" spans="2:10" ht="12.75">
      <c r="B165" s="5" t="s">
        <v>370</v>
      </c>
      <c r="C165" s="6"/>
      <c r="D165" s="6"/>
      <c r="E165" s="6"/>
      <c r="F165" s="6"/>
      <c r="G165" s="6"/>
      <c r="H165" s="329"/>
      <c r="I165" s="340">
        <f>I156/G6</f>
        <v>0.2916931797619807</v>
      </c>
      <c r="J165" s="7" t="s">
        <v>363</v>
      </c>
    </row>
    <row r="166" spans="2:10" ht="12.75">
      <c r="B166" s="5" t="s">
        <v>371</v>
      </c>
      <c r="C166" s="6"/>
      <c r="D166" s="6"/>
      <c r="E166" s="6"/>
      <c r="F166" s="6"/>
      <c r="G166" s="6"/>
      <c r="H166" s="329"/>
      <c r="I166" s="340">
        <f>J156/G7</f>
        <v>1.59876321766238</v>
      </c>
      <c r="J166" s="7" t="s">
        <v>363</v>
      </c>
    </row>
    <row r="167" spans="2:10" ht="13.5" thickBot="1">
      <c r="B167" s="314" t="s">
        <v>372</v>
      </c>
      <c r="C167" s="330"/>
      <c r="D167" s="330"/>
      <c r="E167" s="330"/>
      <c r="F167" s="330"/>
      <c r="G167" s="330"/>
      <c r="H167" s="330"/>
      <c r="I167" s="343">
        <f>J156/I8</f>
        <v>0.0159876321766238</v>
      </c>
      <c r="J167" s="315" t="s">
        <v>364</v>
      </c>
    </row>
  </sheetData>
  <printOptions/>
  <pageMargins left="0.5" right="0.5" top="0.5" bottom="0.5" header="0.5" footer="0.5"/>
  <pageSetup orientation="landscape" r:id="rId1"/>
</worksheet>
</file>

<file path=xl/worksheets/sheet11.xml><?xml version="1.0" encoding="utf-8"?>
<worksheet xmlns="http://schemas.openxmlformats.org/spreadsheetml/2006/main" xmlns:r="http://schemas.openxmlformats.org/officeDocument/2006/relationships">
  <dimension ref="A2:D12"/>
  <sheetViews>
    <sheetView workbookViewId="0" topLeftCell="A1">
      <selection activeCell="A1" sqref="A1"/>
    </sheetView>
  </sheetViews>
  <sheetFormatPr defaultColWidth="9.140625" defaultRowHeight="12.75"/>
  <cols>
    <col min="1" max="1" width="2.57421875" style="0" customWidth="1"/>
    <col min="2" max="2" width="7.28125" style="0" customWidth="1"/>
    <col min="3" max="3" width="33.8515625" style="0" customWidth="1"/>
    <col min="4" max="4" width="14.00390625" style="0" customWidth="1"/>
    <col min="5" max="5" width="2.140625" style="0" customWidth="1"/>
  </cols>
  <sheetData>
    <row r="1" ht="13.5" thickBot="1"/>
    <row r="2" s="448" customFormat="1" ht="18.75" thickBot="1">
      <c r="A2" s="447" t="s">
        <v>31</v>
      </c>
    </row>
    <row r="3" ht="13.5" thickBot="1"/>
    <row r="4" spans="2:4" ht="26.25" thickBot="1">
      <c r="B4" s="469" t="s">
        <v>34</v>
      </c>
      <c r="C4" s="470" t="s">
        <v>35</v>
      </c>
      <c r="D4" s="471" t="s">
        <v>36</v>
      </c>
    </row>
    <row r="5" spans="2:4" ht="78" customHeight="1">
      <c r="B5" s="466">
        <v>1</v>
      </c>
      <c r="C5" s="467" t="s">
        <v>37</v>
      </c>
      <c r="D5" s="468">
        <f>Results!I36</f>
        <v>657309.0774363603</v>
      </c>
    </row>
    <row r="6" spans="2:4" ht="77.25" customHeight="1">
      <c r="B6" s="461">
        <v>2</v>
      </c>
      <c r="C6" s="460" t="s">
        <v>39</v>
      </c>
      <c r="D6" s="462">
        <f>Results!I75</f>
        <v>815737.4036044963</v>
      </c>
    </row>
    <row r="7" spans="2:4" ht="92.25" customHeight="1">
      <c r="B7" s="461">
        <v>3</v>
      </c>
      <c r="C7" s="460" t="s">
        <v>38</v>
      </c>
      <c r="D7" s="462">
        <f>Results!I114</f>
        <v>608695.6393617837</v>
      </c>
    </row>
    <row r="8" spans="2:4" ht="78.75" customHeight="1" thickBot="1">
      <c r="B8" s="463">
        <v>4</v>
      </c>
      <c r="C8" s="464" t="s">
        <v>40</v>
      </c>
      <c r="D8" s="465">
        <f>Results!I156</f>
        <v>821557.7300420154</v>
      </c>
    </row>
    <row r="9" ht="13.5" thickBot="1"/>
    <row r="10" spans="2:4" ht="13.5" thickBot="1">
      <c r="B10" s="520" t="s">
        <v>34</v>
      </c>
      <c r="C10" s="521" t="s">
        <v>35</v>
      </c>
      <c r="D10" s="522" t="s">
        <v>460</v>
      </c>
    </row>
    <row r="11" spans="2:4" ht="12.75">
      <c r="B11" s="523">
        <v>3</v>
      </c>
      <c r="C11" s="524" t="s">
        <v>459</v>
      </c>
      <c r="D11" s="525">
        <f>Results!J128</f>
        <v>4719.336</v>
      </c>
    </row>
    <row r="12" spans="2:4" ht="13.5" thickBot="1">
      <c r="B12" s="526">
        <v>4</v>
      </c>
      <c r="C12" s="527" t="s">
        <v>463</v>
      </c>
      <c r="D12" s="315"/>
    </row>
  </sheetData>
  <printOptions/>
  <pageMargins left="0.5" right="0.5" top="0.5" bottom="0.5" header="0.5" footer="0.5"/>
  <pageSetup orientation="landscape" r:id="rId2"/>
  <drawing r:id="rId1"/>
</worksheet>
</file>

<file path=xl/worksheets/sheet2.xml><?xml version="1.0" encoding="utf-8"?>
<worksheet xmlns="http://schemas.openxmlformats.org/spreadsheetml/2006/main" xmlns:r="http://schemas.openxmlformats.org/officeDocument/2006/relationships">
  <dimension ref="A1:B34"/>
  <sheetViews>
    <sheetView workbookViewId="0" topLeftCell="A1">
      <selection activeCell="A1" sqref="A1"/>
    </sheetView>
  </sheetViews>
  <sheetFormatPr defaultColWidth="9.140625" defaultRowHeight="12.75"/>
  <cols>
    <col min="1" max="1" width="3.57421875" style="0" customWidth="1"/>
    <col min="2" max="2" width="121.28125" style="0" customWidth="1"/>
  </cols>
  <sheetData>
    <row r="1" spans="1:2" ht="16.5" thickBot="1">
      <c r="A1" s="378" t="s">
        <v>411</v>
      </c>
      <c r="B1" s="379"/>
    </row>
    <row r="2" spans="1:2" ht="13.5" thickBot="1">
      <c r="A2" s="380">
        <v>1</v>
      </c>
      <c r="B2" s="381" t="s">
        <v>381</v>
      </c>
    </row>
    <row r="3" spans="1:2" ht="50.25" customHeight="1">
      <c r="A3" s="382" t="s">
        <v>404</v>
      </c>
      <c r="B3" s="383" t="s">
        <v>2</v>
      </c>
    </row>
    <row r="4" spans="1:2" ht="36" customHeight="1">
      <c r="A4" s="445" t="s">
        <v>404</v>
      </c>
      <c r="B4" s="439" t="s">
        <v>3</v>
      </c>
    </row>
    <row r="5" spans="1:2" ht="37.5" customHeight="1" thickBot="1">
      <c r="A5" s="384" t="s">
        <v>404</v>
      </c>
      <c r="B5" s="385" t="s">
        <v>405</v>
      </c>
    </row>
    <row r="6" spans="1:2" ht="13.5" thickBot="1">
      <c r="A6" s="376"/>
      <c r="B6" s="376"/>
    </row>
    <row r="7" spans="1:2" ht="13.5" thickBot="1">
      <c r="A7" s="386">
        <v>2</v>
      </c>
      <c r="B7" s="381" t="s">
        <v>420</v>
      </c>
    </row>
    <row r="8" spans="1:2" s="443" customFormat="1" ht="98.25" customHeight="1">
      <c r="A8" s="382" t="s">
        <v>404</v>
      </c>
      <c r="B8" s="444" t="s">
        <v>4</v>
      </c>
    </row>
    <row r="9" spans="1:2" ht="36.75" customHeight="1">
      <c r="A9" s="445" t="s">
        <v>404</v>
      </c>
      <c r="B9" s="442" t="s">
        <v>0</v>
      </c>
    </row>
    <row r="10" spans="1:2" ht="24">
      <c r="A10" s="445" t="s">
        <v>404</v>
      </c>
      <c r="B10" s="439" t="s">
        <v>1</v>
      </c>
    </row>
    <row r="11" spans="1:2" ht="13.5" thickBot="1">
      <c r="A11" s="384" t="s">
        <v>404</v>
      </c>
      <c r="B11" s="387" t="s">
        <v>419</v>
      </c>
    </row>
    <row r="12" spans="1:2" ht="13.5" thickBot="1">
      <c r="A12" s="376"/>
      <c r="B12" s="376"/>
    </row>
    <row r="13" spans="1:2" ht="13.5" thickBot="1">
      <c r="A13" s="386">
        <v>3</v>
      </c>
      <c r="B13" s="381" t="s">
        <v>406</v>
      </c>
    </row>
    <row r="14" spans="1:2" ht="24">
      <c r="A14" s="382" t="s">
        <v>404</v>
      </c>
      <c r="B14" s="388" t="s">
        <v>424</v>
      </c>
    </row>
    <row r="15" spans="1:2" ht="12.75">
      <c r="A15" s="446" t="s">
        <v>404</v>
      </c>
      <c r="B15" s="389" t="s">
        <v>425</v>
      </c>
    </row>
    <row r="16" spans="1:2" ht="13.5" thickBot="1">
      <c r="A16" s="384" t="s">
        <v>404</v>
      </c>
      <c r="B16" s="390" t="s">
        <v>5</v>
      </c>
    </row>
    <row r="17" spans="1:2" ht="13.5" thickBot="1">
      <c r="A17" s="376"/>
      <c r="B17" s="376"/>
    </row>
    <row r="18" spans="1:2" ht="13.5" thickBot="1">
      <c r="A18" s="386">
        <v>4</v>
      </c>
      <c r="B18" s="381" t="s">
        <v>407</v>
      </c>
    </row>
    <row r="19" spans="1:2" ht="24">
      <c r="A19" s="382" t="s">
        <v>404</v>
      </c>
      <c r="B19" s="392" t="s">
        <v>7</v>
      </c>
    </row>
    <row r="20" spans="1:2" ht="48">
      <c r="A20" s="445"/>
      <c r="B20" s="393" t="s">
        <v>435</v>
      </c>
    </row>
    <row r="21" spans="1:2" ht="37.5" customHeight="1">
      <c r="A21" s="445" t="s">
        <v>404</v>
      </c>
      <c r="B21" s="393" t="s">
        <v>12</v>
      </c>
    </row>
    <row r="22" spans="1:2" ht="17.25" customHeight="1">
      <c r="A22" s="445" t="s">
        <v>404</v>
      </c>
      <c r="B22" s="393" t="s">
        <v>436</v>
      </c>
    </row>
    <row r="23" spans="1:2" ht="64.5" customHeight="1">
      <c r="A23" s="445" t="s">
        <v>404</v>
      </c>
      <c r="B23" s="393" t="s">
        <v>26</v>
      </c>
    </row>
    <row r="24" spans="1:2" ht="63.75" customHeight="1">
      <c r="A24" s="445" t="s">
        <v>404</v>
      </c>
      <c r="B24" s="393" t="s">
        <v>441</v>
      </c>
    </row>
    <row r="25" spans="1:2" ht="26.25" customHeight="1">
      <c r="A25" s="445"/>
      <c r="B25" s="393" t="s">
        <v>27</v>
      </c>
    </row>
    <row r="26" spans="1:2" ht="12.75">
      <c r="A26" s="445"/>
      <c r="B26" s="440" t="s">
        <v>433</v>
      </c>
    </row>
    <row r="27" spans="1:2" ht="12.75">
      <c r="A27" s="445"/>
      <c r="B27" s="393" t="s">
        <v>28</v>
      </c>
    </row>
    <row r="28" spans="1:2" ht="63" customHeight="1">
      <c r="A28" s="445" t="s">
        <v>404</v>
      </c>
      <c r="B28" s="441" t="s">
        <v>29</v>
      </c>
    </row>
    <row r="29" spans="1:2" ht="13.5" thickBot="1">
      <c r="A29" s="445" t="s">
        <v>404</v>
      </c>
      <c r="B29" s="394" t="s">
        <v>6</v>
      </c>
    </row>
    <row r="30" spans="1:2" ht="13.5" thickBot="1">
      <c r="A30" s="376"/>
      <c r="B30" s="376"/>
    </row>
    <row r="31" spans="1:2" ht="13.5" thickBot="1">
      <c r="A31" s="386">
        <v>5</v>
      </c>
      <c r="B31" s="381" t="s">
        <v>408</v>
      </c>
    </row>
    <row r="32" spans="1:2" ht="12.75">
      <c r="A32" s="391" t="s">
        <v>404</v>
      </c>
      <c r="B32" s="392" t="s">
        <v>409</v>
      </c>
    </row>
    <row r="33" spans="1:2" ht="36.75" thickBot="1">
      <c r="A33" s="384" t="s">
        <v>404</v>
      </c>
      <c r="B33" s="394" t="s">
        <v>410</v>
      </c>
    </row>
    <row r="34" spans="1:2" ht="12.75">
      <c r="A34" s="376"/>
      <c r="B34" s="376"/>
    </row>
  </sheetData>
  <printOptions/>
  <pageMargins left="0.5" right="0.5" top="0.5" bottom="0.5" header="0.5" footer="0.5"/>
  <pageSetup orientation="landscape" r:id="rId1"/>
</worksheet>
</file>

<file path=xl/worksheets/sheet3.xml><?xml version="1.0" encoding="utf-8"?>
<worksheet xmlns="http://schemas.openxmlformats.org/spreadsheetml/2006/main" xmlns:r="http://schemas.openxmlformats.org/officeDocument/2006/relationships">
  <dimension ref="A2:H65"/>
  <sheetViews>
    <sheetView workbookViewId="0" topLeftCell="A1">
      <selection activeCell="A1" sqref="A1"/>
    </sheetView>
  </sheetViews>
  <sheetFormatPr defaultColWidth="9.140625" defaultRowHeight="12.75"/>
  <cols>
    <col min="1" max="1" width="4.00390625" style="0" customWidth="1"/>
    <col min="2" max="3" width="8.8515625" style="0" customWidth="1"/>
    <col min="4" max="4" width="15.8515625" style="0" customWidth="1"/>
    <col min="5" max="5" width="8.8515625" style="0" customWidth="1"/>
    <col min="6" max="6" width="18.8515625" style="0" customWidth="1"/>
    <col min="7" max="7" width="13.7109375" style="0" customWidth="1"/>
    <col min="8" max="8" width="14.28125" style="0" customWidth="1"/>
    <col min="9" max="16384" width="8.8515625" style="0" customWidth="1"/>
  </cols>
  <sheetData>
    <row r="1" ht="13.5" thickBot="1"/>
    <row r="2" s="137" customFormat="1" ht="18.75" thickBot="1">
      <c r="A2" s="136" t="s">
        <v>291</v>
      </c>
    </row>
    <row r="3" ht="13.5" thickBot="1"/>
    <row r="4" s="135" customFormat="1" ht="17.25" thickBot="1">
      <c r="A4" s="134" t="s">
        <v>291</v>
      </c>
    </row>
    <row r="5" s="122" customFormat="1" ht="17.25" thickBot="1"/>
    <row r="6" spans="2:8" s="123" customFormat="1" ht="16.5" thickBot="1">
      <c r="B6" s="539" t="s">
        <v>415</v>
      </c>
      <c r="C6" s="540"/>
      <c r="D6" s="130"/>
      <c r="E6" s="131" t="s">
        <v>256</v>
      </c>
      <c r="F6" s="401" t="s">
        <v>257</v>
      </c>
      <c r="G6" s="132" t="s">
        <v>273</v>
      </c>
      <c r="H6" s="78"/>
    </row>
    <row r="7" spans="2:8" ht="12.75">
      <c r="B7" s="75" t="s">
        <v>284</v>
      </c>
      <c r="C7" s="9"/>
      <c r="D7" s="10"/>
      <c r="E7" s="398">
        <v>0.03</v>
      </c>
      <c r="F7" s="133" t="s">
        <v>285</v>
      </c>
      <c r="G7" s="129">
        <v>0.03</v>
      </c>
      <c r="H7" s="6"/>
    </row>
    <row r="8" spans="2:8" ht="12.75">
      <c r="B8" s="47" t="s">
        <v>318</v>
      </c>
      <c r="C8" s="13"/>
      <c r="D8" s="14"/>
      <c r="E8" s="399">
        <v>0.01</v>
      </c>
      <c r="F8" s="127" t="s">
        <v>319</v>
      </c>
      <c r="G8" s="19">
        <v>0.01</v>
      </c>
      <c r="H8" s="6"/>
    </row>
    <row r="9" spans="2:8" ht="12.75">
      <c r="B9" s="47" t="s">
        <v>320</v>
      </c>
      <c r="C9" s="13"/>
      <c r="D9" s="14"/>
      <c r="E9" s="399">
        <v>100</v>
      </c>
      <c r="F9" s="127" t="s">
        <v>321</v>
      </c>
      <c r="G9" s="19">
        <v>100</v>
      </c>
      <c r="H9" s="6"/>
    </row>
    <row r="10" spans="2:8" ht="13.5" thickBot="1">
      <c r="B10" s="79" t="s">
        <v>230</v>
      </c>
      <c r="C10" s="80"/>
      <c r="D10" s="56"/>
      <c r="E10" s="400">
        <f>0.15/0.85</f>
        <v>0.17647058823529413</v>
      </c>
      <c r="F10" s="128" t="s">
        <v>285</v>
      </c>
      <c r="G10" s="126">
        <f>0.15/0.85</f>
        <v>0.17647058823529413</v>
      </c>
      <c r="H10" s="6"/>
    </row>
    <row r="11" ht="13.5" thickBot="1"/>
    <row r="12" s="135" customFormat="1" ht="17.25" thickBot="1">
      <c r="A12" s="134" t="s">
        <v>414</v>
      </c>
    </row>
    <row r="13" s="122" customFormat="1" ht="17.25" thickBot="1"/>
    <row r="14" spans="2:8" s="122" customFormat="1" ht="17.25" thickBot="1">
      <c r="B14" s="539" t="s">
        <v>306</v>
      </c>
      <c r="C14" s="540"/>
      <c r="D14" s="130"/>
      <c r="E14" s="131" t="s">
        <v>256</v>
      </c>
      <c r="F14" s="401" t="s">
        <v>257</v>
      </c>
      <c r="G14" s="131" t="s">
        <v>273</v>
      </c>
      <c r="H14" s="132" t="s">
        <v>293</v>
      </c>
    </row>
    <row r="15" spans="2:8" ht="12.75">
      <c r="B15" s="75" t="s">
        <v>298</v>
      </c>
      <c r="C15" s="9"/>
      <c r="D15" s="10"/>
      <c r="E15" s="409">
        <v>5</v>
      </c>
      <c r="F15" s="133" t="s">
        <v>287</v>
      </c>
      <c r="G15" s="11">
        <v>5</v>
      </c>
      <c r="H15" s="412">
        <v>2</v>
      </c>
    </row>
    <row r="16" spans="2:8" ht="12.75">
      <c r="B16" s="47" t="s">
        <v>292</v>
      </c>
      <c r="C16" s="13"/>
      <c r="D16" s="14"/>
      <c r="E16" s="410">
        <v>35</v>
      </c>
      <c r="F16" s="127" t="s">
        <v>287</v>
      </c>
      <c r="G16" s="16">
        <v>35</v>
      </c>
      <c r="H16" s="413">
        <v>2</v>
      </c>
    </row>
    <row r="17" spans="2:8" ht="12.75">
      <c r="B17" s="47" t="s">
        <v>234</v>
      </c>
      <c r="C17" s="13"/>
      <c r="D17" s="14"/>
      <c r="E17" s="410">
        <v>1000</v>
      </c>
      <c r="F17" s="127" t="s">
        <v>287</v>
      </c>
      <c r="G17" s="16">
        <v>1000</v>
      </c>
      <c r="H17" s="413">
        <v>5</v>
      </c>
    </row>
    <row r="18" spans="2:8" ht="12.75">
      <c r="B18" s="47" t="s">
        <v>294</v>
      </c>
      <c r="C18" s="13"/>
      <c r="D18" s="14"/>
      <c r="E18" s="410">
        <v>300</v>
      </c>
      <c r="F18" s="127" t="s">
        <v>287</v>
      </c>
      <c r="G18" s="16">
        <v>300</v>
      </c>
      <c r="H18" s="413">
        <v>5</v>
      </c>
    </row>
    <row r="19" spans="2:8" ht="12.75">
      <c r="B19" s="47" t="s">
        <v>295</v>
      </c>
      <c r="C19" s="13"/>
      <c r="D19" s="14"/>
      <c r="E19" s="410">
        <v>100</v>
      </c>
      <c r="F19" s="127" t="s">
        <v>287</v>
      </c>
      <c r="G19" s="16">
        <v>100</v>
      </c>
      <c r="H19" s="413">
        <v>5</v>
      </c>
    </row>
    <row r="20" spans="2:8" ht="12.75">
      <c r="B20" s="47" t="s">
        <v>305</v>
      </c>
      <c r="C20" s="13"/>
      <c r="D20" s="14"/>
      <c r="E20" s="410">
        <v>25</v>
      </c>
      <c r="F20" s="127" t="s">
        <v>287</v>
      </c>
      <c r="G20" s="16">
        <v>25</v>
      </c>
      <c r="H20" s="413">
        <v>2</v>
      </c>
    </row>
    <row r="21" spans="2:8" ht="12.75">
      <c r="B21" s="47" t="s">
        <v>300</v>
      </c>
      <c r="C21" s="13"/>
      <c r="D21" s="14"/>
      <c r="E21" s="410">
        <v>30</v>
      </c>
      <c r="F21" s="127" t="s">
        <v>287</v>
      </c>
      <c r="G21" s="16">
        <v>30</v>
      </c>
      <c r="H21" s="413">
        <v>4</v>
      </c>
    </row>
    <row r="22" spans="2:8" ht="12.75">
      <c r="B22" s="47" t="s">
        <v>8</v>
      </c>
      <c r="C22" s="13"/>
      <c r="D22" s="14"/>
      <c r="E22" s="410">
        <v>1500</v>
      </c>
      <c r="F22" s="127" t="s">
        <v>287</v>
      </c>
      <c r="G22" s="16">
        <v>1500</v>
      </c>
      <c r="H22" s="413">
        <v>3</v>
      </c>
    </row>
    <row r="23" spans="2:8" ht="12.75">
      <c r="B23" s="47" t="s">
        <v>209</v>
      </c>
      <c r="C23" s="13"/>
      <c r="D23" s="14"/>
      <c r="E23" s="410">
        <v>1000</v>
      </c>
      <c r="F23" s="127" t="s">
        <v>287</v>
      </c>
      <c r="G23" s="16">
        <v>1000</v>
      </c>
      <c r="H23" s="413">
        <v>5</v>
      </c>
    </row>
    <row r="24" spans="2:8" ht="12.75">
      <c r="B24" s="47" t="s">
        <v>246</v>
      </c>
      <c r="C24" s="13"/>
      <c r="D24" s="14"/>
      <c r="E24" s="410">
        <v>100</v>
      </c>
      <c r="F24" s="127" t="s">
        <v>287</v>
      </c>
      <c r="G24" s="16">
        <v>25</v>
      </c>
      <c r="H24" s="413">
        <v>5</v>
      </c>
    </row>
    <row r="25" spans="2:8" ht="12.75">
      <c r="B25" s="47" t="s">
        <v>268</v>
      </c>
      <c r="C25" s="13"/>
      <c r="D25" s="14"/>
      <c r="E25" s="410">
        <v>20</v>
      </c>
      <c r="F25" s="127" t="s">
        <v>287</v>
      </c>
      <c r="G25" s="16">
        <v>20</v>
      </c>
      <c r="H25" s="413">
        <v>2</v>
      </c>
    </row>
    <row r="26" spans="2:8" ht="12.75">
      <c r="B26" s="47" t="s">
        <v>231</v>
      </c>
      <c r="C26" s="13"/>
      <c r="D26" s="14"/>
      <c r="E26" s="410">
        <v>45</v>
      </c>
      <c r="F26" s="127" t="s">
        <v>287</v>
      </c>
      <c r="G26" s="16">
        <v>45</v>
      </c>
      <c r="H26" s="413">
        <v>4</v>
      </c>
    </row>
    <row r="27" spans="2:8" ht="12.75">
      <c r="B27" s="47" t="s">
        <v>232</v>
      </c>
      <c r="C27" s="13"/>
      <c r="D27" s="14"/>
      <c r="E27" s="410">
        <v>1000</v>
      </c>
      <c r="F27" s="127" t="s">
        <v>287</v>
      </c>
      <c r="G27" s="16">
        <v>1000</v>
      </c>
      <c r="H27" s="413">
        <v>10</v>
      </c>
    </row>
    <row r="28" spans="2:8" ht="12.75">
      <c r="B28" s="47" t="s">
        <v>233</v>
      </c>
      <c r="C28" s="13"/>
      <c r="D28" s="14"/>
      <c r="E28" s="410">
        <v>1770</v>
      </c>
      <c r="F28" s="127" t="s">
        <v>287</v>
      </c>
      <c r="G28" s="16">
        <v>1770</v>
      </c>
      <c r="H28" s="413">
        <v>5</v>
      </c>
    </row>
    <row r="29" spans="2:8" ht="12.75">
      <c r="B29" s="47" t="s">
        <v>236</v>
      </c>
      <c r="C29" s="13"/>
      <c r="D29" s="14"/>
      <c r="E29" s="410">
        <v>2000</v>
      </c>
      <c r="F29" s="127" t="s">
        <v>287</v>
      </c>
      <c r="G29" s="16">
        <v>2000</v>
      </c>
      <c r="H29" s="413">
        <v>10</v>
      </c>
    </row>
    <row r="30" spans="2:8" ht="12.75">
      <c r="B30" s="47" t="s">
        <v>9</v>
      </c>
      <c r="C30" s="13"/>
      <c r="D30" s="14"/>
      <c r="E30" s="410">
        <v>2800</v>
      </c>
      <c r="F30" s="127" t="s">
        <v>287</v>
      </c>
      <c r="G30" s="16">
        <v>2800</v>
      </c>
      <c r="H30" s="413">
        <v>5</v>
      </c>
    </row>
    <row r="31" spans="2:8" ht="12.75">
      <c r="B31" s="47" t="s">
        <v>169</v>
      </c>
      <c r="C31" s="13"/>
      <c r="D31" s="14"/>
      <c r="E31" s="410">
        <v>250</v>
      </c>
      <c r="F31" s="127" t="s">
        <v>287</v>
      </c>
      <c r="G31" s="16">
        <v>250</v>
      </c>
      <c r="H31" s="413">
        <v>5</v>
      </c>
    </row>
    <row r="32" spans="2:8" ht="12.75">
      <c r="B32" s="47" t="s">
        <v>170</v>
      </c>
      <c r="C32" s="13"/>
      <c r="D32" s="14"/>
      <c r="E32" s="410">
        <v>250</v>
      </c>
      <c r="F32" s="127" t="s">
        <v>287</v>
      </c>
      <c r="G32" s="16">
        <v>250</v>
      </c>
      <c r="H32" s="413">
        <v>3</v>
      </c>
    </row>
    <row r="33" spans="2:8" ht="12.75">
      <c r="B33" s="47" t="s">
        <v>421</v>
      </c>
      <c r="C33" s="13"/>
      <c r="D33" s="14"/>
      <c r="E33" s="410">
        <v>500</v>
      </c>
      <c r="F33" s="127" t="s">
        <v>287</v>
      </c>
      <c r="G33" s="16">
        <v>500</v>
      </c>
      <c r="H33" s="413">
        <v>2</v>
      </c>
    </row>
    <row r="34" spans="2:8" ht="12.75">
      <c r="B34" s="47" t="s">
        <v>150</v>
      </c>
      <c r="C34" s="13"/>
      <c r="D34" s="14"/>
      <c r="E34" s="410">
        <v>2000</v>
      </c>
      <c r="F34" s="127" t="s">
        <v>287</v>
      </c>
      <c r="G34" s="16">
        <v>2000</v>
      </c>
      <c r="H34" s="413">
        <v>10</v>
      </c>
    </row>
    <row r="35" spans="2:8" ht="12.75">
      <c r="B35" s="47" t="s">
        <v>151</v>
      </c>
      <c r="C35" s="13"/>
      <c r="D35" s="14"/>
      <c r="E35" s="410">
        <v>31200</v>
      </c>
      <c r="F35" s="127" t="s">
        <v>287</v>
      </c>
      <c r="G35" s="16">
        <v>31200</v>
      </c>
      <c r="H35" s="413">
        <v>10</v>
      </c>
    </row>
    <row r="36" spans="2:8" ht="12.75">
      <c r="B36" s="47" t="s">
        <v>152</v>
      </c>
      <c r="C36" s="13"/>
      <c r="D36" s="14"/>
      <c r="E36" s="410">
        <v>35</v>
      </c>
      <c r="F36" s="127" t="s">
        <v>287</v>
      </c>
      <c r="G36" s="16">
        <v>35</v>
      </c>
      <c r="H36" s="413">
        <v>2</v>
      </c>
    </row>
    <row r="37" spans="2:8" ht="12.75">
      <c r="B37" s="47" t="s">
        <v>10</v>
      </c>
      <c r="C37" s="13"/>
      <c r="D37" s="14"/>
      <c r="E37" s="410">
        <v>37500</v>
      </c>
      <c r="F37" s="127" t="s">
        <v>287</v>
      </c>
      <c r="G37" s="16">
        <v>37500</v>
      </c>
      <c r="H37" s="413">
        <v>10</v>
      </c>
    </row>
    <row r="38" spans="2:8" ht="12.75">
      <c r="B38" s="47" t="s">
        <v>172</v>
      </c>
      <c r="C38" s="13"/>
      <c r="D38" s="14"/>
      <c r="E38" s="410">
        <v>36500</v>
      </c>
      <c r="F38" s="127" t="s">
        <v>287</v>
      </c>
      <c r="G38" s="16">
        <v>36500</v>
      </c>
      <c r="H38" s="413">
        <v>10</v>
      </c>
    </row>
    <row r="39" spans="2:8" ht="12.75">
      <c r="B39" s="47" t="s">
        <v>422</v>
      </c>
      <c r="C39" s="13"/>
      <c r="D39" s="14"/>
      <c r="E39" s="410">
        <v>25000</v>
      </c>
      <c r="F39" s="127" t="s">
        <v>287</v>
      </c>
      <c r="G39" s="16">
        <v>25000</v>
      </c>
      <c r="H39" s="413">
        <v>5</v>
      </c>
    </row>
    <row r="40" spans="2:8" ht="12.75">
      <c r="B40" s="47" t="s">
        <v>45</v>
      </c>
      <c r="C40" s="13"/>
      <c r="D40" s="14"/>
      <c r="E40" s="410">
        <v>40000</v>
      </c>
      <c r="F40" s="127" t="s">
        <v>287</v>
      </c>
      <c r="G40" s="16">
        <v>40000</v>
      </c>
      <c r="H40" s="413">
        <v>5</v>
      </c>
    </row>
    <row r="41" spans="2:8" ht="12.75">
      <c r="B41" s="47" t="s">
        <v>112</v>
      </c>
      <c r="C41" s="13"/>
      <c r="D41" s="14"/>
      <c r="E41" s="410">
        <v>125000</v>
      </c>
      <c r="F41" s="127" t="s">
        <v>287</v>
      </c>
      <c r="G41" s="16">
        <v>125000</v>
      </c>
      <c r="H41" s="413">
        <v>10</v>
      </c>
    </row>
    <row r="42" spans="2:8" ht="12.75">
      <c r="B42" s="47" t="s">
        <v>423</v>
      </c>
      <c r="C42" s="13"/>
      <c r="D42" s="14"/>
      <c r="E42" s="410">
        <v>56000</v>
      </c>
      <c r="F42" s="127" t="s">
        <v>287</v>
      </c>
      <c r="G42" s="16">
        <v>56000</v>
      </c>
      <c r="H42" s="413">
        <v>5</v>
      </c>
    </row>
    <row r="43" spans="2:8" ht="12.75">
      <c r="B43" s="47" t="s">
        <v>11</v>
      </c>
      <c r="C43" s="13"/>
      <c r="D43" s="14"/>
      <c r="E43" s="410">
        <v>200000</v>
      </c>
      <c r="F43" s="127" t="s">
        <v>287</v>
      </c>
      <c r="G43" s="16">
        <v>200000</v>
      </c>
      <c r="H43" s="413">
        <v>10</v>
      </c>
    </row>
    <row r="44" spans="2:8" ht="13.5" thickBot="1">
      <c r="B44" s="79" t="s">
        <v>57</v>
      </c>
      <c r="C44" s="80"/>
      <c r="D44" s="56"/>
      <c r="E44" s="411">
        <f>G44</f>
        <v>286000</v>
      </c>
      <c r="F44" s="128" t="s">
        <v>287</v>
      </c>
      <c r="G44" s="54">
        <f>ROUND(147.5*350+234848,3-LEN(INT(147.5*350+234848)))</f>
        <v>286000</v>
      </c>
      <c r="H44" s="414">
        <v>10</v>
      </c>
    </row>
    <row r="45" ht="13.5" thickBot="1"/>
    <row r="46" s="135" customFormat="1" ht="17.25" thickBot="1">
      <c r="A46" s="134" t="s">
        <v>416</v>
      </c>
    </row>
    <row r="47" s="122" customFormat="1" ht="17.25" thickBot="1"/>
    <row r="48" spans="2:8" s="122" customFormat="1" ht="17.25" thickBot="1">
      <c r="B48" s="541" t="s">
        <v>306</v>
      </c>
      <c r="C48" s="542"/>
      <c r="D48" s="130"/>
      <c r="E48" s="131" t="s">
        <v>256</v>
      </c>
      <c r="F48" s="401" t="s">
        <v>257</v>
      </c>
      <c r="G48" s="132" t="s">
        <v>273</v>
      </c>
      <c r="H48" s="78"/>
    </row>
    <row r="49" spans="2:8" ht="12.75">
      <c r="B49" s="47" t="s">
        <v>296</v>
      </c>
      <c r="C49" s="13"/>
      <c r="D49" s="14"/>
      <c r="E49" s="407">
        <v>0.5</v>
      </c>
      <c r="F49" s="127" t="s">
        <v>269</v>
      </c>
      <c r="G49" s="19">
        <v>0.5</v>
      </c>
      <c r="H49" s="6"/>
    </row>
    <row r="50" spans="2:8" ht="12.75">
      <c r="B50" s="47" t="s">
        <v>299</v>
      </c>
      <c r="C50" s="13"/>
      <c r="D50" s="14"/>
      <c r="E50" s="407">
        <v>0.06</v>
      </c>
      <c r="F50" s="127" t="s">
        <v>271</v>
      </c>
      <c r="G50" s="19">
        <v>0.06</v>
      </c>
      <c r="H50" s="6"/>
    </row>
    <row r="51" spans="2:8" ht="12.75">
      <c r="B51" s="47" t="s">
        <v>323</v>
      </c>
      <c r="C51" s="13"/>
      <c r="D51" s="14"/>
      <c r="E51" s="407">
        <f>1.05*0.5*1</f>
        <v>0.525</v>
      </c>
      <c r="F51" s="127" t="s">
        <v>326</v>
      </c>
      <c r="G51" s="19">
        <v>0.53</v>
      </c>
      <c r="H51" s="6"/>
    </row>
    <row r="52" spans="2:8" ht="12.75">
      <c r="B52" s="47" t="s">
        <v>325</v>
      </c>
      <c r="C52" s="13"/>
      <c r="D52" s="14"/>
      <c r="E52" s="407">
        <v>0.5</v>
      </c>
      <c r="F52" s="127" t="s">
        <v>259</v>
      </c>
      <c r="G52" s="19">
        <v>0.5</v>
      </c>
      <c r="H52" s="6"/>
    </row>
    <row r="53" spans="2:8" ht="12.75">
      <c r="B53" s="47" t="s">
        <v>329</v>
      </c>
      <c r="C53" s="13"/>
      <c r="D53" s="14"/>
      <c r="E53" s="407">
        <v>0.05</v>
      </c>
      <c r="F53" s="127" t="s">
        <v>330</v>
      </c>
      <c r="G53" s="19">
        <v>0.05</v>
      </c>
      <c r="H53" s="6"/>
    </row>
    <row r="54" spans="2:8" ht="12.75">
      <c r="B54" s="47" t="s">
        <v>211</v>
      </c>
      <c r="C54" s="13"/>
      <c r="D54" s="14"/>
      <c r="E54" s="407">
        <v>0.5</v>
      </c>
      <c r="F54" s="127" t="s">
        <v>212</v>
      </c>
      <c r="G54" s="19">
        <v>0.5</v>
      </c>
      <c r="H54" s="6"/>
    </row>
    <row r="55" spans="2:8" ht="12.75">
      <c r="B55" s="47" t="s">
        <v>240</v>
      </c>
      <c r="C55" s="13"/>
      <c r="D55" s="14"/>
      <c r="E55" s="407">
        <v>0.12</v>
      </c>
      <c r="F55" s="127" t="s">
        <v>271</v>
      </c>
      <c r="G55" s="19">
        <v>0.12</v>
      </c>
      <c r="H55" s="6"/>
    </row>
    <row r="56" spans="2:8" ht="12.75">
      <c r="B56" s="47" t="s">
        <v>242</v>
      </c>
      <c r="C56" s="13"/>
      <c r="D56" s="14"/>
      <c r="E56" s="407">
        <f>4*0.25*1</f>
        <v>1</v>
      </c>
      <c r="F56" s="127" t="s">
        <v>326</v>
      </c>
      <c r="G56" s="19">
        <v>1</v>
      </c>
      <c r="H56" s="6"/>
    </row>
    <row r="57" spans="2:8" ht="12.75">
      <c r="B57" s="47" t="s">
        <v>243</v>
      </c>
      <c r="C57" s="13"/>
      <c r="D57" s="14"/>
      <c r="E57" s="407">
        <v>3</v>
      </c>
      <c r="F57" s="127" t="s">
        <v>244</v>
      </c>
      <c r="G57" s="19">
        <v>3</v>
      </c>
      <c r="H57" s="6"/>
    </row>
    <row r="58" spans="2:8" ht="12.75">
      <c r="B58" s="47" t="s">
        <v>443</v>
      </c>
      <c r="C58" s="13"/>
      <c r="D58" s="14"/>
      <c r="E58" s="407">
        <v>0.187</v>
      </c>
      <c r="F58" s="127" t="s">
        <v>444</v>
      </c>
      <c r="G58" s="19">
        <v>0.187</v>
      </c>
      <c r="H58" s="6"/>
    </row>
    <row r="59" spans="2:8" ht="12.75">
      <c r="B59" s="47" t="s">
        <v>247</v>
      </c>
      <c r="C59" s="13"/>
      <c r="D59" s="14"/>
      <c r="E59" s="407">
        <v>0.8</v>
      </c>
      <c r="F59" s="127" t="s">
        <v>248</v>
      </c>
      <c r="G59" s="19">
        <v>0.8</v>
      </c>
      <c r="H59" s="6"/>
    </row>
    <row r="60" spans="2:8" ht="12.75">
      <c r="B60" s="47" t="s">
        <v>93</v>
      </c>
      <c r="C60" s="13"/>
      <c r="D60" s="14"/>
      <c r="E60" s="407">
        <v>0.01</v>
      </c>
      <c r="F60" s="127" t="s">
        <v>94</v>
      </c>
      <c r="G60" s="19">
        <v>0.01</v>
      </c>
      <c r="H60" s="6"/>
    </row>
    <row r="61" spans="2:8" ht="12.75">
      <c r="B61" s="47" t="s">
        <v>155</v>
      </c>
      <c r="C61" s="13"/>
      <c r="D61" s="14"/>
      <c r="E61" s="407">
        <v>3</v>
      </c>
      <c r="F61" s="127" t="s">
        <v>244</v>
      </c>
      <c r="G61" s="19">
        <v>3</v>
      </c>
      <c r="H61" s="6"/>
    </row>
    <row r="62" spans="2:8" ht="12.75">
      <c r="B62" s="47" t="s">
        <v>173</v>
      </c>
      <c r="C62" s="13"/>
      <c r="D62" s="14"/>
      <c r="E62" s="407">
        <v>3</v>
      </c>
      <c r="F62" s="127" t="s">
        <v>244</v>
      </c>
      <c r="G62" s="19">
        <v>3</v>
      </c>
      <c r="H62" s="6"/>
    </row>
    <row r="63" spans="2:8" ht="12.75">
      <c r="B63" s="47" t="s">
        <v>48</v>
      </c>
      <c r="C63" s="13"/>
      <c r="D63" s="14"/>
      <c r="E63" s="407">
        <v>3</v>
      </c>
      <c r="F63" s="127" t="s">
        <v>244</v>
      </c>
      <c r="G63" s="19">
        <v>3</v>
      </c>
      <c r="H63" s="6"/>
    </row>
    <row r="64" spans="2:8" ht="12.75">
      <c r="B64" s="47" t="s">
        <v>95</v>
      </c>
      <c r="C64" s="13"/>
      <c r="D64" s="14"/>
      <c r="E64" s="407">
        <v>0.0062</v>
      </c>
      <c r="F64" s="127" t="s">
        <v>94</v>
      </c>
      <c r="G64" s="19">
        <v>0.0062</v>
      </c>
      <c r="H64" s="6"/>
    </row>
    <row r="65" spans="2:8" ht="13.5" thickBot="1">
      <c r="B65" s="79" t="s">
        <v>59</v>
      </c>
      <c r="C65" s="80"/>
      <c r="D65" s="56"/>
      <c r="E65" s="415">
        <f>G65</f>
        <v>83100</v>
      </c>
      <c r="F65" s="128" t="s">
        <v>177</v>
      </c>
      <c r="G65" s="55">
        <f>ROUND(82.5*350+54267,3-LEN(INT(82.5*350+54267)))</f>
        <v>83100</v>
      </c>
      <c r="H65" s="6"/>
    </row>
  </sheetData>
  <mergeCells count="3">
    <mergeCell ref="B6:C6"/>
    <mergeCell ref="B14:C14"/>
    <mergeCell ref="B48:C48"/>
  </mergeCells>
  <printOptions/>
  <pageMargins left="0.5" right="0.5" top="0.5" bottom="0.5" header="0.5" footer="0.5"/>
  <pageSetup orientation="portrait" r:id="rId1"/>
</worksheet>
</file>

<file path=xl/worksheets/sheet4.xml><?xml version="1.0" encoding="utf-8"?>
<worksheet xmlns="http://schemas.openxmlformats.org/spreadsheetml/2006/main" xmlns:r="http://schemas.openxmlformats.org/officeDocument/2006/relationships">
  <dimension ref="A2:G45"/>
  <sheetViews>
    <sheetView workbookViewId="0" topLeftCell="A1">
      <selection activeCell="A1" sqref="A1"/>
    </sheetView>
  </sheetViews>
  <sheetFormatPr defaultColWidth="9.140625" defaultRowHeight="12.75"/>
  <cols>
    <col min="1" max="1" width="4.7109375" style="0" customWidth="1"/>
    <col min="2" max="2" width="54.8515625" style="0" bestFit="1" customWidth="1"/>
    <col min="3" max="3" width="13.28125" style="0" bestFit="1" customWidth="1"/>
    <col min="4" max="4" width="14.28125" style="0" customWidth="1"/>
    <col min="5" max="5" width="12.421875" style="0" customWidth="1"/>
    <col min="6" max="16384" width="8.8515625" style="0" customWidth="1"/>
  </cols>
  <sheetData>
    <row r="1" ht="13.5" thickBot="1"/>
    <row r="2" s="167" customFormat="1" ht="18.75" thickBot="1">
      <c r="A2" s="311" t="s">
        <v>334</v>
      </c>
    </row>
    <row r="3" ht="13.5" thickBot="1"/>
    <row r="4" s="169" customFormat="1" ht="17.25" thickBot="1">
      <c r="A4" s="168" t="s">
        <v>338</v>
      </c>
    </row>
    <row r="5" ht="13.5" thickBot="1">
      <c r="C5" s="3"/>
    </row>
    <row r="6" spans="2:4" ht="15.75" thickBot="1">
      <c r="B6" s="153" t="s">
        <v>274</v>
      </c>
      <c r="C6" s="158" t="s">
        <v>66</v>
      </c>
      <c r="D6" s="159" t="s">
        <v>67</v>
      </c>
    </row>
    <row r="7" spans="2:4" ht="12.75">
      <c r="B7" s="151" t="s">
        <v>272</v>
      </c>
      <c r="C7" s="532">
        <v>452</v>
      </c>
      <c r="D7" s="129"/>
    </row>
    <row r="8" spans="2:4" ht="13.5" thickBot="1">
      <c r="B8" s="5"/>
      <c r="C8" s="15"/>
      <c r="D8" s="7"/>
    </row>
    <row r="9" spans="2:4" ht="15.75" thickBot="1">
      <c r="B9" s="154" t="s">
        <v>275</v>
      </c>
      <c r="C9" s="161" t="s">
        <v>68</v>
      </c>
      <c r="D9" s="162" t="s">
        <v>67</v>
      </c>
    </row>
    <row r="10" spans="2:4" ht="12.75">
      <c r="B10" s="151" t="s">
        <v>276</v>
      </c>
      <c r="C10" s="530">
        <v>19</v>
      </c>
      <c r="D10" s="129"/>
    </row>
    <row r="11" spans="2:4" ht="12.75">
      <c r="B11" s="18" t="s">
        <v>223</v>
      </c>
      <c r="C11" s="531">
        <v>46</v>
      </c>
      <c r="D11" s="19">
        <v>40</v>
      </c>
    </row>
    <row r="12" spans="2:4" ht="13.5" thickBot="1">
      <c r="B12" s="5"/>
      <c r="C12" s="15"/>
      <c r="D12" s="7"/>
    </row>
    <row r="13" spans="2:4" s="89" customFormat="1" ht="15.75" thickBot="1">
      <c r="B13" s="155" t="s">
        <v>278</v>
      </c>
      <c r="C13" s="160" t="s">
        <v>68</v>
      </c>
      <c r="D13" s="152" t="s">
        <v>67</v>
      </c>
    </row>
    <row r="14" spans="2:4" ht="12.75">
      <c r="B14" s="151" t="s">
        <v>279</v>
      </c>
      <c r="C14" s="530">
        <v>8</v>
      </c>
      <c r="D14" s="129"/>
    </row>
    <row r="15" spans="2:4" ht="12.75">
      <c r="B15" s="18" t="s">
        <v>253</v>
      </c>
      <c r="C15" s="531">
        <v>214</v>
      </c>
      <c r="D15" s="19">
        <v>250</v>
      </c>
    </row>
    <row r="16" spans="2:4" ht="12.75">
      <c r="B16" s="18" t="s">
        <v>13</v>
      </c>
      <c r="C16" s="535">
        <v>0</v>
      </c>
      <c r="D16" s="19"/>
    </row>
    <row r="17" spans="2:4" ht="13.5" thickBot="1">
      <c r="B17" s="53" t="s">
        <v>14</v>
      </c>
      <c r="C17" s="536">
        <v>0</v>
      </c>
      <c r="D17" s="55">
        <v>750</v>
      </c>
    </row>
    <row r="18" spans="2:4" ht="13.5" thickBot="1">
      <c r="B18" s="6"/>
      <c r="C18" s="458"/>
      <c r="D18" s="6"/>
    </row>
    <row r="19" s="169" customFormat="1" ht="17.25" thickBot="1">
      <c r="A19" s="168" t="s">
        <v>30</v>
      </c>
    </row>
    <row r="20" ht="13.5" thickBot="1">
      <c r="C20" s="3"/>
    </row>
    <row r="21" spans="2:4" ht="15.75" thickBot="1">
      <c r="B21" s="156" t="s">
        <v>108</v>
      </c>
      <c r="C21" s="163" t="s">
        <v>66</v>
      </c>
      <c r="D21" s="164" t="s">
        <v>67</v>
      </c>
    </row>
    <row r="22" spans="2:4" ht="12.75">
      <c r="B22" s="151" t="s">
        <v>121</v>
      </c>
      <c r="C22" s="395">
        <v>1</v>
      </c>
      <c r="D22" s="19"/>
    </row>
    <row r="23" spans="2:4" ht="12.75">
      <c r="B23" s="18" t="s">
        <v>449</v>
      </c>
      <c r="C23" s="396">
        <v>77</v>
      </c>
      <c r="D23" s="19"/>
    </row>
    <row r="24" spans="2:4" ht="12.75">
      <c r="B24" s="18" t="s">
        <v>349</v>
      </c>
      <c r="C24" s="396">
        <v>1</v>
      </c>
      <c r="D24" s="19"/>
    </row>
    <row r="25" spans="2:4" ht="12.75">
      <c r="B25" s="18" t="s">
        <v>350</v>
      </c>
      <c r="C25" s="396">
        <v>19</v>
      </c>
      <c r="D25" s="19">
        <f>number_medium_HCFs_medium_cluster*40</f>
        <v>40</v>
      </c>
    </row>
    <row r="26" spans="2:4" ht="12.75">
      <c r="B26" s="18" t="s">
        <v>15</v>
      </c>
      <c r="C26" s="396">
        <v>5</v>
      </c>
      <c r="D26" s="19"/>
    </row>
    <row r="27" spans="2:4" ht="12.75">
      <c r="B27" s="18" t="s">
        <v>16</v>
      </c>
      <c r="C27" s="396">
        <v>1291</v>
      </c>
      <c r="D27" s="19">
        <f>number_large_HCFs_medium_cluster*500</f>
        <v>2500</v>
      </c>
    </row>
    <row r="28" spans="2:4" ht="13.5" thickBot="1">
      <c r="B28" s="5"/>
      <c r="C28" s="15"/>
      <c r="D28" s="7"/>
    </row>
    <row r="29" spans="2:4" ht="15.75" thickBot="1">
      <c r="B29" s="157" t="s">
        <v>107</v>
      </c>
      <c r="C29" s="165" t="s">
        <v>68</v>
      </c>
      <c r="D29" s="166" t="s">
        <v>67</v>
      </c>
    </row>
    <row r="30" spans="2:4" ht="12.75">
      <c r="B30" s="151" t="s">
        <v>109</v>
      </c>
      <c r="C30" s="395">
        <v>0</v>
      </c>
      <c r="D30" s="129"/>
    </row>
    <row r="31" spans="2:4" ht="12.75">
      <c r="B31" s="18" t="s">
        <v>351</v>
      </c>
      <c r="C31" s="396">
        <v>0</v>
      </c>
      <c r="D31" s="19"/>
    </row>
    <row r="32" spans="2:4" ht="12.75">
      <c r="B32" s="18" t="s">
        <v>352</v>
      </c>
      <c r="C32" s="396">
        <v>0</v>
      </c>
      <c r="D32" s="19"/>
    </row>
    <row r="33" spans="2:4" ht="12.75">
      <c r="B33" s="18" t="s">
        <v>353</v>
      </c>
      <c r="C33" s="396">
        <v>0</v>
      </c>
      <c r="D33" s="19">
        <f>number_medium_HCFs_large_cluster*40</f>
        <v>0</v>
      </c>
    </row>
    <row r="34" spans="2:4" ht="12.75">
      <c r="B34" s="18" t="s">
        <v>17</v>
      </c>
      <c r="C34" s="396">
        <v>0</v>
      </c>
      <c r="D34" s="19"/>
    </row>
    <row r="35" spans="2:4" ht="13.5" thickBot="1">
      <c r="B35" s="53" t="s">
        <v>18</v>
      </c>
      <c r="C35" s="397">
        <v>0</v>
      </c>
      <c r="D35" s="55">
        <f>number_large_HCFs_large_cluster*500</f>
        <v>0</v>
      </c>
    </row>
    <row r="36" ht="13.5" thickBot="1"/>
    <row r="37" s="169" customFormat="1" ht="17.25" thickBot="1">
      <c r="A37" s="168" t="s">
        <v>412</v>
      </c>
    </row>
    <row r="38" ht="13.5" thickBot="1"/>
    <row r="39" spans="2:4" ht="15">
      <c r="B39" s="472" t="s">
        <v>306</v>
      </c>
      <c r="C39" s="473" t="s">
        <v>66</v>
      </c>
      <c r="D39" s="474" t="s">
        <v>273</v>
      </c>
    </row>
    <row r="40" spans="2:4" ht="12.75">
      <c r="B40" s="5" t="s">
        <v>192</v>
      </c>
      <c r="C40" s="529">
        <v>3900</v>
      </c>
      <c r="D40" s="7">
        <f>number_medium_HCFs*beds_per_medium_HCF+number_large_A_HCFs*beds_per_large_A_HCF+number_large_B_HCFs*beds_per_large_B_HCF+(total_beds_medium_HCFs_medium_cluster+total_beds_large_HCFs_medium_cluster)*number_medium_clusters+(total_beds_medium_HCFs_large_cluster+total_beds_large_HCFs_large_cluster)*number_large_clusters</f>
        <v>3896</v>
      </c>
    </row>
    <row r="41" spans="2:4" ht="12.75">
      <c r="B41" s="5" t="s">
        <v>340</v>
      </c>
      <c r="C41" s="529">
        <v>1765000</v>
      </c>
      <c r="D41" s="7"/>
    </row>
    <row r="42" spans="2:4" ht="12.75">
      <c r="B42" s="475" t="s">
        <v>413</v>
      </c>
      <c r="C42" s="529">
        <v>365355000</v>
      </c>
      <c r="D42" s="7"/>
    </row>
    <row r="43" spans="2:4" ht="13.5" thickBot="1">
      <c r="B43" s="316" t="s">
        <v>432</v>
      </c>
      <c r="C43" s="528">
        <v>10317000</v>
      </c>
      <c r="D43" s="315"/>
    </row>
    <row r="45" ht="12.75">
      <c r="G45" s="476"/>
    </row>
  </sheetData>
  <printOptions/>
  <pageMargins left="0.5" right="0.5" top="0.5" bottom="0.5" header="0.5" footer="0.5"/>
  <pageSetup orientation="portrait" r:id="rId1"/>
</worksheet>
</file>

<file path=xl/worksheets/sheet5.xml><?xml version="1.0" encoding="utf-8"?>
<worksheet xmlns="http://schemas.openxmlformats.org/spreadsheetml/2006/main" xmlns:r="http://schemas.openxmlformats.org/officeDocument/2006/relationships">
  <dimension ref="A1:I116"/>
  <sheetViews>
    <sheetView workbookViewId="0" topLeftCell="A1">
      <selection activeCell="A1" sqref="A1"/>
    </sheetView>
  </sheetViews>
  <sheetFormatPr defaultColWidth="9.140625" defaultRowHeight="12.75"/>
  <cols>
    <col min="1" max="1" width="4.8515625" style="86" customWidth="1"/>
    <col min="2" max="2" width="4.28125" style="86" customWidth="1"/>
    <col min="3" max="3" width="8.8515625" style="86" customWidth="1"/>
    <col min="4" max="4" width="13.7109375" style="86" customWidth="1"/>
    <col min="5" max="6" width="8.8515625" style="86" customWidth="1"/>
    <col min="7" max="7" width="13.28125" style="86" customWidth="1"/>
    <col min="8" max="8" width="8.8515625" style="86" customWidth="1"/>
    <col min="9" max="9" width="16.8515625" style="178" customWidth="1"/>
    <col min="10" max="16384" width="8.8515625" style="86" customWidth="1"/>
  </cols>
  <sheetData>
    <row r="1" s="84" customFormat="1" ht="13.5" thickBot="1">
      <c r="I1" s="177"/>
    </row>
    <row r="2" spans="1:9" s="51" customFormat="1" ht="18.75" thickBot="1">
      <c r="A2" s="50" t="s">
        <v>63</v>
      </c>
      <c r="I2" s="59"/>
    </row>
    <row r="3" ht="13.5" thickBot="1"/>
    <row r="4" spans="1:9" s="49" customFormat="1" ht="16.5" thickBot="1">
      <c r="A4" s="48" t="s">
        <v>261</v>
      </c>
      <c r="I4" s="60"/>
    </row>
    <row r="5" s="52" customFormat="1" ht="16.5" thickBot="1">
      <c r="I5" s="61"/>
    </row>
    <row r="6" spans="2:9" s="24" customFormat="1" ht="15">
      <c r="B6" s="179" t="s">
        <v>306</v>
      </c>
      <c r="C6" s="57"/>
      <c r="D6" s="57"/>
      <c r="E6" s="57"/>
      <c r="F6" s="180" t="s">
        <v>256</v>
      </c>
      <c r="G6" s="317" t="s">
        <v>257</v>
      </c>
      <c r="H6" s="181" t="s">
        <v>290</v>
      </c>
      <c r="I6" s="170"/>
    </row>
    <row r="7" spans="2:8" ht="12.75">
      <c r="B7" s="116" t="s">
        <v>354</v>
      </c>
      <c r="C7" s="117"/>
      <c r="D7" s="117"/>
      <c r="E7" s="117"/>
      <c r="F7" s="416">
        <v>1</v>
      </c>
      <c r="G7" s="185" t="s">
        <v>277</v>
      </c>
      <c r="H7" s="118">
        <v>1</v>
      </c>
    </row>
    <row r="8" spans="2:8" ht="12.75">
      <c r="B8" s="116" t="s">
        <v>288</v>
      </c>
      <c r="C8" s="117"/>
      <c r="D8" s="117"/>
      <c r="E8" s="117"/>
      <c r="F8" s="416">
        <v>0.15</v>
      </c>
      <c r="G8" s="185" t="s">
        <v>289</v>
      </c>
      <c r="H8" s="118">
        <v>0.15</v>
      </c>
    </row>
    <row r="9" spans="2:8" ht="12.75">
      <c r="B9" s="116" t="s">
        <v>355</v>
      </c>
      <c r="C9" s="117"/>
      <c r="D9" s="117"/>
      <c r="E9" s="117"/>
      <c r="F9" s="416">
        <v>0.02</v>
      </c>
      <c r="G9" s="185" t="s">
        <v>277</v>
      </c>
      <c r="H9" s="118">
        <v>0.02</v>
      </c>
    </row>
    <row r="10" spans="2:8" ht="12.75">
      <c r="B10" s="116" t="s">
        <v>282</v>
      </c>
      <c r="C10" s="117"/>
      <c r="D10" s="117"/>
      <c r="E10" s="117"/>
      <c r="F10" s="416">
        <v>261</v>
      </c>
      <c r="G10" s="185" t="s">
        <v>283</v>
      </c>
      <c r="H10" s="118">
        <v>261</v>
      </c>
    </row>
    <row r="11" spans="2:8" ht="12.75">
      <c r="B11" s="116" t="s">
        <v>286</v>
      </c>
      <c r="C11" s="117"/>
      <c r="D11" s="117"/>
      <c r="E11" s="117"/>
      <c r="F11" s="533">
        <v>1.09</v>
      </c>
      <c r="G11" s="185" t="s">
        <v>258</v>
      </c>
      <c r="H11" s="118">
        <v>0.5</v>
      </c>
    </row>
    <row r="12" spans="2:8" ht="12.75">
      <c r="B12" s="116" t="s">
        <v>301</v>
      </c>
      <c r="C12" s="117"/>
      <c r="D12" s="117"/>
      <c r="E12" s="117"/>
      <c r="F12" s="533">
        <v>3</v>
      </c>
      <c r="G12" s="185" t="s">
        <v>266</v>
      </c>
      <c r="H12" s="118">
        <v>2</v>
      </c>
    </row>
    <row r="13" spans="2:8" ht="12.75">
      <c r="B13" s="116" t="s">
        <v>302</v>
      </c>
      <c r="C13" s="117"/>
      <c r="D13" s="117"/>
      <c r="E13" s="117"/>
      <c r="F13" s="533">
        <v>0.047</v>
      </c>
      <c r="G13" s="185" t="s">
        <v>303</v>
      </c>
      <c r="H13" s="118">
        <v>0.08</v>
      </c>
    </row>
    <row r="14" spans="2:8" ht="12.75">
      <c r="B14" s="116" t="s">
        <v>304</v>
      </c>
      <c r="C14" s="117"/>
      <c r="D14" s="117"/>
      <c r="E14" s="117"/>
      <c r="F14" s="416">
        <v>5</v>
      </c>
      <c r="G14" s="185" t="s">
        <v>260</v>
      </c>
      <c r="H14" s="118">
        <v>5</v>
      </c>
    </row>
    <row r="15" spans="2:8" ht="12.75">
      <c r="B15" s="116" t="s">
        <v>205</v>
      </c>
      <c r="C15" s="117"/>
      <c r="D15" s="182"/>
      <c r="E15" s="117"/>
      <c r="F15" s="533">
        <v>24</v>
      </c>
      <c r="G15" s="185" t="s">
        <v>333</v>
      </c>
      <c r="H15" s="118">
        <v>3</v>
      </c>
    </row>
    <row r="16" spans="2:8" ht="13.5" thickBot="1">
      <c r="B16" s="186" t="s">
        <v>215</v>
      </c>
      <c r="C16" s="187"/>
      <c r="D16" s="188"/>
      <c r="E16" s="187"/>
      <c r="F16" s="417">
        <v>1</v>
      </c>
      <c r="G16" s="190" t="s">
        <v>214</v>
      </c>
      <c r="H16" s="191">
        <v>1</v>
      </c>
    </row>
    <row r="17" spans="3:8" ht="13.5" thickBot="1">
      <c r="C17" s="117"/>
      <c r="D17" s="117"/>
      <c r="E17" s="117"/>
      <c r="F17" s="117"/>
      <c r="G17" s="192"/>
      <c r="H17" s="117"/>
    </row>
    <row r="18" spans="1:9" s="193" customFormat="1" ht="16.5" thickBot="1">
      <c r="A18" s="48" t="s">
        <v>64</v>
      </c>
      <c r="G18" s="194"/>
      <c r="I18" s="195"/>
    </row>
    <row r="19" ht="13.5" thickBot="1"/>
    <row r="20" spans="2:9" ht="15">
      <c r="B20" s="196" t="s">
        <v>314</v>
      </c>
      <c r="C20" s="197"/>
      <c r="D20" s="87"/>
      <c r="E20" s="87"/>
      <c r="F20" s="87"/>
      <c r="G20" s="87"/>
      <c r="H20" s="87"/>
      <c r="I20" s="198"/>
    </row>
    <row r="21" spans="2:9" ht="12.75">
      <c r="B21" s="116"/>
      <c r="C21" s="117"/>
      <c r="D21" s="117"/>
      <c r="E21" s="117"/>
      <c r="F21" s="117"/>
      <c r="G21" s="117"/>
      <c r="H21" s="117"/>
      <c r="I21" s="199"/>
    </row>
    <row r="22" spans="2:9" ht="15">
      <c r="B22" s="200" t="s">
        <v>262</v>
      </c>
      <c r="C22" s="201"/>
      <c r="D22" s="201"/>
      <c r="E22" s="201"/>
      <c r="F22" s="201"/>
      <c r="G22" s="201"/>
      <c r="H22" s="201"/>
      <c r="I22" s="202"/>
    </row>
    <row r="23" spans="2:9" ht="14.25">
      <c r="B23" s="203" t="s">
        <v>263</v>
      </c>
      <c r="C23" s="204" t="s">
        <v>306</v>
      </c>
      <c r="D23" s="73"/>
      <c r="E23" s="74"/>
      <c r="F23" s="205" t="s">
        <v>307</v>
      </c>
      <c r="G23" s="421" t="s">
        <v>308</v>
      </c>
      <c r="H23" s="421" t="s">
        <v>309</v>
      </c>
      <c r="I23" s="206" t="s">
        <v>310</v>
      </c>
    </row>
    <row r="24" spans="2:9" ht="12.75">
      <c r="B24" s="207">
        <v>1</v>
      </c>
      <c r="C24" s="208" t="s">
        <v>311</v>
      </c>
      <c r="D24" s="209"/>
      <c r="E24" s="210"/>
      <c r="F24" s="211">
        <f>cost_15L_bin</f>
        <v>5</v>
      </c>
      <c r="G24" s="422">
        <f>TRUNC(F7/bulk_density_small_HCF/15)+TRUNC(F7/bulk_density_small_HCF/ratio_inf_to_noninf/15)+2</f>
        <v>4</v>
      </c>
      <c r="H24" s="422">
        <f>life_15L_bin</f>
        <v>2</v>
      </c>
      <c r="I24" s="212">
        <f>((F24*discount_rate)/(1-(1/(1+discount_rate)^H24)))*G24</f>
        <v>10.452216748768471</v>
      </c>
    </row>
    <row r="25" spans="2:9" ht="12.75">
      <c r="B25" s="207">
        <v>2</v>
      </c>
      <c r="C25" s="208" t="s">
        <v>312</v>
      </c>
      <c r="D25" s="209"/>
      <c r="E25" s="210"/>
      <c r="F25" s="211">
        <f>cost_PPE</f>
        <v>35</v>
      </c>
      <c r="G25" s="422">
        <v>1</v>
      </c>
      <c r="H25" s="422">
        <f>life_PPE</f>
        <v>2</v>
      </c>
      <c r="I25" s="212">
        <f>((F25*discount_rate)/(1-(1/(1+discount_rate)^H25)))*G25</f>
        <v>18.291379310344826</v>
      </c>
    </row>
    <row r="26" spans="2:9" ht="12.75">
      <c r="B26" s="207">
        <v>3</v>
      </c>
      <c r="C26" s="208" t="s">
        <v>234</v>
      </c>
      <c r="D26" s="209"/>
      <c r="E26" s="210"/>
      <c r="F26" s="211">
        <f>cost_24L_autoclave</f>
        <v>1000</v>
      </c>
      <c r="G26" s="422">
        <v>1</v>
      </c>
      <c r="H26" s="422">
        <f>life_24L_autoclave</f>
        <v>5</v>
      </c>
      <c r="I26" s="212">
        <f>((F26*discount_rate)/(1-(1/(1+discount_rate)^H26)))*G26</f>
        <v>218.35457140057622</v>
      </c>
    </row>
    <row r="27" spans="2:9" ht="12.75">
      <c r="B27" s="207">
        <v>4</v>
      </c>
      <c r="C27" s="208" t="s">
        <v>235</v>
      </c>
      <c r="D27" s="209"/>
      <c r="E27" s="210"/>
      <c r="F27" s="211">
        <f>cost_simple_autoclave_shelter</f>
        <v>300</v>
      </c>
      <c r="G27" s="422">
        <v>1</v>
      </c>
      <c r="H27" s="422">
        <f>life_simple_autoclave_shelter</f>
        <v>5</v>
      </c>
      <c r="I27" s="212">
        <f>((F27*discount_rate)/(1-(1/(1+discount_rate)^H27)))*G27</f>
        <v>65.50637142017287</v>
      </c>
    </row>
    <row r="28" spans="2:9" ht="13.5" thickBot="1">
      <c r="B28" s="213">
        <v>5</v>
      </c>
      <c r="C28" s="214" t="s">
        <v>295</v>
      </c>
      <c r="D28" s="215"/>
      <c r="E28" s="216"/>
      <c r="F28" s="217">
        <f>cost_sharps_pit</f>
        <v>100</v>
      </c>
      <c r="G28" s="423">
        <v>1</v>
      </c>
      <c r="H28" s="423">
        <f>life_sharps_pit</f>
        <v>5</v>
      </c>
      <c r="I28" s="218">
        <f>((F28*discount_rate)/(1-(1/(1+discount_rate)^H28)))*G28</f>
        <v>21.83545714005762</v>
      </c>
    </row>
    <row r="29" spans="2:9" ht="15.75" thickTop="1">
      <c r="B29" s="31"/>
      <c r="C29" s="32" t="s">
        <v>315</v>
      </c>
      <c r="D29" s="32"/>
      <c r="E29" s="32"/>
      <c r="F29" s="32"/>
      <c r="G29" s="32"/>
      <c r="H29" s="32"/>
      <c r="I29" s="62">
        <f>SUM(I24:I28)</f>
        <v>334.43999601992</v>
      </c>
    </row>
    <row r="30" spans="2:9" ht="15">
      <c r="B30" s="31"/>
      <c r="C30" s="32" t="s">
        <v>316</v>
      </c>
      <c r="D30" s="32"/>
      <c r="E30" s="32"/>
      <c r="F30" s="32"/>
      <c r="G30" s="32"/>
      <c r="H30" s="32"/>
      <c r="I30" s="62">
        <f>I29*number_small_HCFs</f>
        <v>151166.87820100383</v>
      </c>
    </row>
    <row r="31" spans="2:9" ht="15">
      <c r="B31" s="200" t="s">
        <v>264</v>
      </c>
      <c r="C31" s="201"/>
      <c r="D31" s="201"/>
      <c r="E31" s="201"/>
      <c r="F31" s="201"/>
      <c r="G31" s="201"/>
      <c r="H31" s="201"/>
      <c r="I31" s="202"/>
    </row>
    <row r="32" spans="2:9" ht="14.25">
      <c r="B32" s="203" t="s">
        <v>263</v>
      </c>
      <c r="C32" s="204" t="s">
        <v>306</v>
      </c>
      <c r="D32" s="73"/>
      <c r="E32" s="74"/>
      <c r="F32" s="205" t="s">
        <v>307</v>
      </c>
      <c r="G32" s="421" t="s">
        <v>308</v>
      </c>
      <c r="H32" s="205" t="s">
        <v>168</v>
      </c>
      <c r="I32" s="206" t="s">
        <v>310</v>
      </c>
    </row>
    <row r="33" spans="2:9" ht="12.75">
      <c r="B33" s="207">
        <v>1</v>
      </c>
      <c r="C33" s="208" t="s">
        <v>317</v>
      </c>
      <c r="D33" s="209"/>
      <c r="E33" s="210"/>
      <c r="F33" s="211">
        <f>cost_safety_box</f>
        <v>0.5</v>
      </c>
      <c r="G33" s="422">
        <f>F9/weight_syringe*days_per_year_small_HCF/capacity_safety_box</f>
        <v>5.22</v>
      </c>
      <c r="H33" s="211"/>
      <c r="I33" s="212">
        <f>F33*G33</f>
        <v>2.61</v>
      </c>
    </row>
    <row r="34" spans="2:9" ht="12.75">
      <c r="B34" s="207">
        <v>2</v>
      </c>
      <c r="C34" s="208" t="s">
        <v>297</v>
      </c>
      <c r="D34" s="209"/>
      <c r="E34" s="210"/>
      <c r="F34" s="211">
        <f>cost_15L_plastic_bag</f>
        <v>0.06</v>
      </c>
      <c r="G34" s="422">
        <f>(TRUNC(F7/bulk_density_small_HCF/15)+1)*days_per_year_small_HCF</f>
        <v>261</v>
      </c>
      <c r="H34" s="211"/>
      <c r="I34" s="212">
        <f>F34*G34</f>
        <v>15.66</v>
      </c>
    </row>
    <row r="35" spans="2:9" ht="12.75">
      <c r="B35" s="207">
        <v>3</v>
      </c>
      <c r="C35" s="208" t="s">
        <v>322</v>
      </c>
      <c r="D35" s="209"/>
      <c r="E35" s="210"/>
      <c r="F35" s="211">
        <f>F13</f>
        <v>0.047</v>
      </c>
      <c r="G35" s="422">
        <f>TRUNC(F7/bulk_density_small_HCF/24)+1</f>
        <v>1</v>
      </c>
      <c r="H35" s="211" t="s">
        <v>328</v>
      </c>
      <c r="I35" s="212">
        <f>F35*kWh_per_cycle_24Lautoclave*G35*days_per_year_small_HCF</f>
        <v>6.440175000000001</v>
      </c>
    </row>
    <row r="36" spans="2:9" ht="12.75">
      <c r="B36" s="207">
        <v>4</v>
      </c>
      <c r="C36" s="208" t="s">
        <v>324</v>
      </c>
      <c r="D36" s="209"/>
      <c r="E36" s="210"/>
      <c r="F36" s="211">
        <f>Cost_water_sewage</f>
        <v>1.09</v>
      </c>
      <c r="G36" s="422">
        <f>TRUNC(F7/bulk_density_small_HCF/24)+1</f>
        <v>1</v>
      </c>
      <c r="H36" s="211" t="s">
        <v>328</v>
      </c>
      <c r="I36" s="212">
        <f>F36/1000*liter_percycle_24L*G36*days_per_year_small_HCF</f>
        <v>0.142245</v>
      </c>
    </row>
    <row r="37" spans="2:9" ht="12.75">
      <c r="B37" s="207">
        <v>5</v>
      </c>
      <c r="C37" s="208" t="s">
        <v>445</v>
      </c>
      <c r="D37" s="209"/>
      <c r="E37" s="210"/>
      <c r="F37" s="211">
        <f>cost_per_autoclave_test_indicator</f>
        <v>0.187</v>
      </c>
      <c r="G37" s="422">
        <v>1</v>
      </c>
      <c r="H37" s="211" t="s">
        <v>446</v>
      </c>
      <c r="I37" s="212">
        <f>F37*G37*F10</f>
        <v>48.807</v>
      </c>
    </row>
    <row r="38" spans="2:9" ht="12.75">
      <c r="B38" s="207">
        <v>6</v>
      </c>
      <c r="C38" s="208" t="s">
        <v>327</v>
      </c>
      <c r="D38" s="209"/>
      <c r="E38" s="210"/>
      <c r="F38" s="211">
        <f>F12</f>
        <v>3</v>
      </c>
      <c r="G38" s="422">
        <f>TRUNC(F7/bulk_density_small_HCF/24)+1</f>
        <v>1</v>
      </c>
      <c r="H38" s="211" t="s">
        <v>328</v>
      </c>
      <c r="I38" s="212">
        <f>F38*G38*1/8*days_per_year_small_HCF</f>
        <v>97.875</v>
      </c>
    </row>
    <row r="39" spans="2:9" ht="12.75">
      <c r="B39" s="207">
        <v>7</v>
      </c>
      <c r="C39" s="208" t="s">
        <v>329</v>
      </c>
      <c r="D39" s="209"/>
      <c r="E39" s="210"/>
      <c r="F39" s="211"/>
      <c r="G39" s="422">
        <f>maintenance_frax_cap_cost*100</f>
        <v>5</v>
      </c>
      <c r="H39" s="211" t="s">
        <v>331</v>
      </c>
      <c r="I39" s="212">
        <f>I29*maintenance_frax_cap_cost</f>
        <v>16.721999800996</v>
      </c>
    </row>
    <row r="40" spans="2:9" ht="13.5" thickBot="1">
      <c r="B40" s="213">
        <v>8</v>
      </c>
      <c r="C40" s="214" t="s">
        <v>332</v>
      </c>
      <c r="D40" s="215"/>
      <c r="E40" s="216"/>
      <c r="F40" s="217">
        <f>F14</f>
        <v>5</v>
      </c>
      <c r="G40" s="423">
        <f>F15</f>
        <v>24</v>
      </c>
      <c r="H40" s="217"/>
      <c r="I40" s="218">
        <f>F40*G40</f>
        <v>120</v>
      </c>
    </row>
    <row r="41" spans="2:9" ht="15.75" thickTop="1">
      <c r="B41" s="31"/>
      <c r="C41" s="32" t="s">
        <v>206</v>
      </c>
      <c r="D41" s="32"/>
      <c r="E41" s="32"/>
      <c r="F41" s="32"/>
      <c r="G41" s="32"/>
      <c r="H41" s="32"/>
      <c r="I41" s="62">
        <f>SUM(I33:I40)</f>
        <v>308.256419800996</v>
      </c>
    </row>
    <row r="42" spans="2:9" ht="15.75" thickBot="1">
      <c r="B42" s="34"/>
      <c r="C42" s="35" t="s">
        <v>207</v>
      </c>
      <c r="D42" s="35"/>
      <c r="E42" s="35"/>
      <c r="F42" s="35"/>
      <c r="G42" s="35"/>
      <c r="H42" s="35"/>
      <c r="I42" s="67">
        <f>I41*number_small_HCFs</f>
        <v>139331.9017500502</v>
      </c>
    </row>
    <row r="43" ht="13.5" thickBot="1"/>
    <row r="44" spans="2:9" ht="15">
      <c r="B44" s="196" t="s">
        <v>208</v>
      </c>
      <c r="C44" s="197"/>
      <c r="D44" s="87"/>
      <c r="E44" s="87"/>
      <c r="F44" s="87"/>
      <c r="G44" s="87"/>
      <c r="H44" s="87"/>
      <c r="I44" s="198"/>
    </row>
    <row r="45" spans="2:9" ht="12.75">
      <c r="B45" s="116"/>
      <c r="C45" s="117"/>
      <c r="D45" s="117"/>
      <c r="E45" s="117"/>
      <c r="F45" s="117"/>
      <c r="G45" s="117"/>
      <c r="H45" s="117"/>
      <c r="I45" s="199"/>
    </row>
    <row r="46" spans="2:9" ht="15">
      <c r="B46" s="200" t="s">
        <v>262</v>
      </c>
      <c r="C46" s="201"/>
      <c r="D46" s="201"/>
      <c r="E46" s="201"/>
      <c r="F46" s="201"/>
      <c r="G46" s="201"/>
      <c r="H46" s="201"/>
      <c r="I46" s="202"/>
    </row>
    <row r="47" spans="2:9" ht="14.25">
      <c r="B47" s="203" t="s">
        <v>263</v>
      </c>
      <c r="C47" s="204" t="s">
        <v>306</v>
      </c>
      <c r="D47" s="73"/>
      <c r="E47" s="74"/>
      <c r="F47" s="205" t="s">
        <v>307</v>
      </c>
      <c r="G47" s="421" t="s">
        <v>308</v>
      </c>
      <c r="H47" s="421" t="s">
        <v>309</v>
      </c>
      <c r="I47" s="206" t="s">
        <v>310</v>
      </c>
    </row>
    <row r="48" spans="2:9" ht="12.75">
      <c r="B48" s="207">
        <v>1</v>
      </c>
      <c r="C48" s="208" t="s">
        <v>311</v>
      </c>
      <c r="D48" s="209"/>
      <c r="E48" s="210"/>
      <c r="F48" s="211">
        <f>cost_15L_bin</f>
        <v>5</v>
      </c>
      <c r="G48" s="422">
        <f>TRUNC(F33/bulk_density_small_HCF/15)+TRUNC(F33/bulk_density_small_HCF*0.85/0.15/15)+2</f>
        <v>3</v>
      </c>
      <c r="H48" s="422">
        <f>life_15L_bin</f>
        <v>2</v>
      </c>
      <c r="I48" s="212">
        <f>((F48*discount_rate)/(1-(1/(1+discount_rate)^H48)))*G48</f>
        <v>7.839162561576353</v>
      </c>
    </row>
    <row r="49" spans="2:9" ht="12.75">
      <c r="B49" s="207">
        <v>2</v>
      </c>
      <c r="C49" s="208" t="s">
        <v>312</v>
      </c>
      <c r="D49" s="209"/>
      <c r="E49" s="210"/>
      <c r="F49" s="211">
        <f>cost_PPE</f>
        <v>35</v>
      </c>
      <c r="G49" s="422">
        <v>1</v>
      </c>
      <c r="H49" s="422">
        <f>life_PPE</f>
        <v>2</v>
      </c>
      <c r="I49" s="212">
        <f>((F49*discount_rate)/(1-(1/(1+discount_rate)^H49)))*G49</f>
        <v>18.291379310344826</v>
      </c>
    </row>
    <row r="50" spans="2:9" ht="12.75">
      <c r="B50" s="207">
        <v>3</v>
      </c>
      <c r="C50" s="208" t="s">
        <v>249</v>
      </c>
      <c r="D50" s="209"/>
      <c r="E50" s="210"/>
      <c r="F50" s="211">
        <f>cost_SSI</f>
        <v>1500</v>
      </c>
      <c r="G50" s="422">
        <v>1</v>
      </c>
      <c r="H50" s="422">
        <f>life_SSI</f>
        <v>3</v>
      </c>
      <c r="I50" s="212">
        <f>((F50*discount_rate)/(1-(1/(1+discount_rate)^H50)))*G50</f>
        <v>530.2955449868972</v>
      </c>
    </row>
    <row r="51" spans="2:9" ht="12.75">
      <c r="B51" s="207">
        <v>4</v>
      </c>
      <c r="C51" s="208" t="s">
        <v>209</v>
      </c>
      <c r="D51" s="209"/>
      <c r="E51" s="210"/>
      <c r="F51" s="211">
        <f>cost_shelter_SSI</f>
        <v>1000</v>
      </c>
      <c r="G51" s="422">
        <v>1</v>
      </c>
      <c r="H51" s="422">
        <f>life_shelter_SSI</f>
        <v>5</v>
      </c>
      <c r="I51" s="212">
        <f>((F51*discount_rate)/(1-(1/(1+discount_rate)^H51)))*G51</f>
        <v>218.35457140057622</v>
      </c>
    </row>
    <row r="52" spans="2:9" ht="13.5" thickBot="1">
      <c r="B52" s="213">
        <v>5</v>
      </c>
      <c r="C52" s="214" t="s">
        <v>213</v>
      </c>
      <c r="D52" s="215"/>
      <c r="E52" s="216"/>
      <c r="F52" s="217">
        <f>cost_small_ash_pit</f>
        <v>100</v>
      </c>
      <c r="G52" s="423">
        <v>1</v>
      </c>
      <c r="H52" s="423">
        <f>life_small_ash_pit</f>
        <v>5</v>
      </c>
      <c r="I52" s="218">
        <f>((F52*discount_rate)/(1-(1/(1+discount_rate)^H52)))*G52</f>
        <v>21.83545714005762</v>
      </c>
    </row>
    <row r="53" spans="2:9" ht="15.75" thickTop="1">
      <c r="B53" s="31"/>
      <c r="C53" s="32" t="s">
        <v>315</v>
      </c>
      <c r="D53" s="32"/>
      <c r="E53" s="32"/>
      <c r="F53" s="32"/>
      <c r="G53" s="32"/>
      <c r="H53" s="32"/>
      <c r="I53" s="62">
        <f>SUM(I48:I52)</f>
        <v>796.6161153994523</v>
      </c>
    </row>
    <row r="54" spans="2:9" ht="15">
      <c r="B54" s="31"/>
      <c r="C54" s="32" t="s">
        <v>316</v>
      </c>
      <c r="D54" s="32"/>
      <c r="E54" s="32"/>
      <c r="F54" s="32"/>
      <c r="G54" s="32"/>
      <c r="H54" s="32"/>
      <c r="I54" s="62">
        <f>I53*number_small_HCFs</f>
        <v>360070.48416055244</v>
      </c>
    </row>
    <row r="55" spans="2:9" ht="15">
      <c r="B55" s="200" t="s">
        <v>264</v>
      </c>
      <c r="C55" s="201"/>
      <c r="D55" s="201"/>
      <c r="E55" s="201"/>
      <c r="F55" s="201"/>
      <c r="G55" s="201"/>
      <c r="H55" s="201"/>
      <c r="I55" s="202"/>
    </row>
    <row r="56" spans="2:9" ht="14.25">
      <c r="B56" s="203" t="s">
        <v>263</v>
      </c>
      <c r="C56" s="204" t="s">
        <v>306</v>
      </c>
      <c r="D56" s="73"/>
      <c r="E56" s="74"/>
      <c r="F56" s="205" t="s">
        <v>307</v>
      </c>
      <c r="G56" s="421" t="s">
        <v>308</v>
      </c>
      <c r="H56" s="205" t="s">
        <v>168</v>
      </c>
      <c r="I56" s="206" t="s">
        <v>310</v>
      </c>
    </row>
    <row r="57" spans="2:9" ht="12.75">
      <c r="B57" s="207">
        <v>1</v>
      </c>
      <c r="C57" s="208" t="s">
        <v>317</v>
      </c>
      <c r="D57" s="209"/>
      <c r="E57" s="210"/>
      <c r="F57" s="211">
        <f>cost_safety_box</f>
        <v>0.5</v>
      </c>
      <c r="G57" s="422">
        <f>F9/weight_syringe*days_per_year_small_HCF/capacity_safety_box</f>
        <v>5.22</v>
      </c>
      <c r="H57" s="211"/>
      <c r="I57" s="212">
        <f>F57*G57</f>
        <v>2.61</v>
      </c>
    </row>
    <row r="58" spans="2:9" ht="12.75">
      <c r="B58" s="207">
        <v>2</v>
      </c>
      <c r="C58" s="208" t="s">
        <v>297</v>
      </c>
      <c r="D58" s="209"/>
      <c r="E58" s="210"/>
      <c r="F58" s="211">
        <f>cost_15L_plastic_bag</f>
        <v>0.06</v>
      </c>
      <c r="G58" s="422">
        <f>(TRUNC(F33/bulk_density_small_HCF/15)+1)*days_per_year_small_HCF</f>
        <v>261</v>
      </c>
      <c r="H58" s="211"/>
      <c r="I58" s="212">
        <f>F58*G58</f>
        <v>15.66</v>
      </c>
    </row>
    <row r="59" spans="2:9" ht="12.75">
      <c r="B59" s="207">
        <v>3</v>
      </c>
      <c r="C59" s="208" t="s">
        <v>210</v>
      </c>
      <c r="D59" s="209"/>
      <c r="E59" s="210"/>
      <c r="F59" s="211">
        <f>cost_fuel_1kg</f>
        <v>0.5</v>
      </c>
      <c r="G59" s="422">
        <f>F16</f>
        <v>1</v>
      </c>
      <c r="H59" s="211" t="s">
        <v>216</v>
      </c>
      <c r="I59" s="212">
        <f>F59*G59*52</f>
        <v>26</v>
      </c>
    </row>
    <row r="60" spans="2:9" ht="12.75">
      <c r="B60" s="207">
        <v>4</v>
      </c>
      <c r="C60" s="208" t="s">
        <v>327</v>
      </c>
      <c r="D60" s="209"/>
      <c r="E60" s="210"/>
      <c r="F60" s="211">
        <f>F12</f>
        <v>3</v>
      </c>
      <c r="G60" s="422">
        <v>0.5</v>
      </c>
      <c r="H60" s="211" t="s">
        <v>217</v>
      </c>
      <c r="I60" s="212">
        <f>F60*G60*52</f>
        <v>78</v>
      </c>
    </row>
    <row r="61" spans="2:9" ht="12.75">
      <c r="B61" s="207">
        <v>5</v>
      </c>
      <c r="C61" s="208" t="s">
        <v>329</v>
      </c>
      <c r="D61" s="209"/>
      <c r="E61" s="210"/>
      <c r="F61" s="211"/>
      <c r="G61" s="422">
        <f>maintenance_frax_cap_cost*100</f>
        <v>5</v>
      </c>
      <c r="H61" s="211" t="s">
        <v>331</v>
      </c>
      <c r="I61" s="212">
        <f>I53*maintenance_frax_cap_cost</f>
        <v>39.83080576997261</v>
      </c>
    </row>
    <row r="62" spans="2:9" ht="13.5" thickBot="1">
      <c r="B62" s="213">
        <v>6</v>
      </c>
      <c r="C62" s="214" t="s">
        <v>332</v>
      </c>
      <c r="D62" s="215"/>
      <c r="E62" s="216"/>
      <c r="F62" s="217">
        <f>F14</f>
        <v>5</v>
      </c>
      <c r="G62" s="423">
        <v>3</v>
      </c>
      <c r="H62" s="217"/>
      <c r="I62" s="218">
        <f>F62*G62</f>
        <v>15</v>
      </c>
    </row>
    <row r="63" spans="2:9" ht="15.75" thickTop="1">
      <c r="B63" s="31"/>
      <c r="C63" s="32" t="s">
        <v>206</v>
      </c>
      <c r="D63" s="32"/>
      <c r="E63" s="32"/>
      <c r="F63" s="32"/>
      <c r="G63" s="32"/>
      <c r="H63" s="32"/>
      <c r="I63" s="62">
        <f>SUM(I57:I62)</f>
        <v>177.10080576997262</v>
      </c>
    </row>
    <row r="64" spans="2:9" ht="15.75" thickBot="1">
      <c r="B64" s="34"/>
      <c r="C64" s="35" t="s">
        <v>207</v>
      </c>
      <c r="D64" s="35"/>
      <c r="E64" s="35"/>
      <c r="F64" s="35"/>
      <c r="G64" s="35"/>
      <c r="H64" s="35"/>
      <c r="I64" s="67">
        <f>I63*number_small_HCFs</f>
        <v>80049.56420802763</v>
      </c>
    </row>
    <row r="65" ht="13.5" thickBot="1"/>
    <row r="66" spans="2:9" ht="15">
      <c r="B66" s="196" t="s">
        <v>218</v>
      </c>
      <c r="C66" s="197"/>
      <c r="D66" s="87"/>
      <c r="E66" s="87"/>
      <c r="F66" s="87"/>
      <c r="G66" s="87"/>
      <c r="H66" s="87"/>
      <c r="I66" s="198"/>
    </row>
    <row r="67" spans="2:9" ht="12.75">
      <c r="B67" s="116"/>
      <c r="C67" s="117"/>
      <c r="D67" s="117"/>
      <c r="E67" s="117"/>
      <c r="F67" s="117"/>
      <c r="G67" s="117"/>
      <c r="H67" s="117"/>
      <c r="I67" s="199"/>
    </row>
    <row r="68" spans="2:9" ht="15">
      <c r="B68" s="200" t="s">
        <v>262</v>
      </c>
      <c r="C68" s="201"/>
      <c r="D68" s="201"/>
      <c r="E68" s="201"/>
      <c r="F68" s="201"/>
      <c r="G68" s="201"/>
      <c r="H68" s="201"/>
      <c r="I68" s="202"/>
    </row>
    <row r="69" spans="2:9" ht="14.25">
      <c r="B69" s="203" t="s">
        <v>263</v>
      </c>
      <c r="C69" s="204" t="s">
        <v>306</v>
      </c>
      <c r="D69" s="73"/>
      <c r="E69" s="74"/>
      <c r="F69" s="205" t="s">
        <v>307</v>
      </c>
      <c r="G69" s="421" t="s">
        <v>308</v>
      </c>
      <c r="H69" s="421" t="s">
        <v>309</v>
      </c>
      <c r="I69" s="206" t="s">
        <v>310</v>
      </c>
    </row>
    <row r="70" spans="2:9" ht="12.75">
      <c r="B70" s="207">
        <v>1</v>
      </c>
      <c r="C70" s="208" t="s">
        <v>311</v>
      </c>
      <c r="D70" s="209"/>
      <c r="E70" s="210"/>
      <c r="F70" s="211">
        <f>cost_15L_bin</f>
        <v>5</v>
      </c>
      <c r="G70" s="422">
        <f>TRUNC(F54/bulk_density_small_HCF/15)+TRUNC(F54/bulk_density_small_HCF*0.85/0.15/15)+2</f>
        <v>2</v>
      </c>
      <c r="H70" s="422">
        <f>life_15L_bin</f>
        <v>2</v>
      </c>
      <c r="I70" s="212">
        <f aca="true" t="shared" si="0" ref="I70:I75">((F70*discount_rate)/(1-(1/(1+discount_rate)^H70)))*G70</f>
        <v>5.226108374384236</v>
      </c>
    </row>
    <row r="71" spans="2:9" ht="12.75">
      <c r="B71" s="207">
        <v>2</v>
      </c>
      <c r="C71" s="208" t="s">
        <v>312</v>
      </c>
      <c r="D71" s="209"/>
      <c r="E71" s="210"/>
      <c r="F71" s="211">
        <f>cost_PPE</f>
        <v>35</v>
      </c>
      <c r="G71" s="422">
        <v>1</v>
      </c>
      <c r="H71" s="422">
        <f>life_PPE</f>
        <v>2</v>
      </c>
      <c r="I71" s="212">
        <f t="shared" si="0"/>
        <v>18.291379310344826</v>
      </c>
    </row>
    <row r="72" spans="2:9" ht="12.75">
      <c r="B72" s="207">
        <v>3</v>
      </c>
      <c r="C72" s="208" t="s">
        <v>300</v>
      </c>
      <c r="D72" s="209"/>
      <c r="E72" s="210"/>
      <c r="F72" s="211">
        <f>cost_needle_remover</f>
        <v>30</v>
      </c>
      <c r="G72" s="422">
        <v>1</v>
      </c>
      <c r="H72" s="422">
        <f>life_needle_remover</f>
        <v>4</v>
      </c>
      <c r="I72" s="212">
        <f t="shared" si="0"/>
        <v>8.070811355792479</v>
      </c>
    </row>
    <row r="73" spans="2:9" ht="12.75">
      <c r="B73" s="207">
        <v>4</v>
      </c>
      <c r="C73" s="208" t="s">
        <v>234</v>
      </c>
      <c r="D73" s="209"/>
      <c r="E73" s="210"/>
      <c r="F73" s="211">
        <f>cost_24L_autoclave</f>
        <v>1000</v>
      </c>
      <c r="G73" s="422">
        <v>1</v>
      </c>
      <c r="H73" s="422">
        <f>life_24L_autoclave</f>
        <v>5</v>
      </c>
      <c r="I73" s="212">
        <f t="shared" si="0"/>
        <v>218.35457140057622</v>
      </c>
    </row>
    <row r="74" spans="2:9" ht="12.75">
      <c r="B74" s="207">
        <v>5</v>
      </c>
      <c r="C74" s="208" t="s">
        <v>313</v>
      </c>
      <c r="D74" s="209"/>
      <c r="E74" s="210"/>
      <c r="F74" s="211">
        <f>cost_simple_autoclave_shelter</f>
        <v>300</v>
      </c>
      <c r="G74" s="422">
        <v>1</v>
      </c>
      <c r="H74" s="422">
        <f>life_simple_autoclave_shelter</f>
        <v>5</v>
      </c>
      <c r="I74" s="212">
        <f t="shared" si="0"/>
        <v>65.50637142017287</v>
      </c>
    </row>
    <row r="75" spans="2:9" ht="13.5" thickBot="1">
      <c r="B75" s="213">
        <v>6</v>
      </c>
      <c r="C75" s="214" t="s">
        <v>219</v>
      </c>
      <c r="D75" s="215"/>
      <c r="E75" s="216"/>
      <c r="F75" s="217">
        <f>cost_small_pit</f>
        <v>25</v>
      </c>
      <c r="G75" s="423">
        <v>1</v>
      </c>
      <c r="H75" s="423">
        <f>life_small_pit</f>
        <v>2</v>
      </c>
      <c r="I75" s="218">
        <f t="shared" si="0"/>
        <v>13.065270935960589</v>
      </c>
    </row>
    <row r="76" spans="2:9" ht="15.75" thickTop="1">
      <c r="B76" s="31"/>
      <c r="C76" s="32" t="s">
        <v>315</v>
      </c>
      <c r="D76" s="32"/>
      <c r="E76" s="32"/>
      <c r="F76" s="32"/>
      <c r="G76" s="32"/>
      <c r="H76" s="32"/>
      <c r="I76" s="62">
        <f>SUM(I70:I75)</f>
        <v>328.51451279723125</v>
      </c>
    </row>
    <row r="77" spans="2:9" ht="15">
      <c r="B77" s="31"/>
      <c r="C77" s="32" t="s">
        <v>316</v>
      </c>
      <c r="D77" s="32"/>
      <c r="E77" s="32"/>
      <c r="F77" s="32"/>
      <c r="G77" s="32"/>
      <c r="H77" s="32"/>
      <c r="I77" s="62">
        <f>I76*number_small_HCFs</f>
        <v>148488.55978434853</v>
      </c>
    </row>
    <row r="78" spans="2:9" ht="15">
      <c r="B78" s="200" t="s">
        <v>264</v>
      </c>
      <c r="C78" s="201"/>
      <c r="D78" s="201"/>
      <c r="E78" s="201"/>
      <c r="F78" s="201"/>
      <c r="G78" s="201"/>
      <c r="H78" s="201"/>
      <c r="I78" s="202"/>
    </row>
    <row r="79" spans="2:9" ht="14.25">
      <c r="B79" s="203" t="s">
        <v>263</v>
      </c>
      <c r="C79" s="204" t="s">
        <v>306</v>
      </c>
      <c r="D79" s="73"/>
      <c r="E79" s="74"/>
      <c r="F79" s="205" t="s">
        <v>307</v>
      </c>
      <c r="G79" s="421" t="s">
        <v>308</v>
      </c>
      <c r="H79" s="205" t="s">
        <v>168</v>
      </c>
      <c r="I79" s="206" t="s">
        <v>310</v>
      </c>
    </row>
    <row r="80" spans="2:9" ht="12.75">
      <c r="B80" s="207">
        <v>1</v>
      </c>
      <c r="C80" s="208" t="s">
        <v>317</v>
      </c>
      <c r="D80" s="209"/>
      <c r="E80" s="210"/>
      <c r="F80" s="211">
        <f>cost_safety_box</f>
        <v>0.5</v>
      </c>
      <c r="G80" s="422">
        <f>F9/weight_syringe*days_per_year_small_HCF/capacity_safety_box</f>
        <v>5.22</v>
      </c>
      <c r="H80" s="211"/>
      <c r="I80" s="212">
        <f>F80*G80</f>
        <v>2.61</v>
      </c>
    </row>
    <row r="81" spans="2:9" ht="12.75">
      <c r="B81" s="207">
        <v>2</v>
      </c>
      <c r="C81" s="208" t="s">
        <v>297</v>
      </c>
      <c r="D81" s="209"/>
      <c r="E81" s="210"/>
      <c r="F81" s="211">
        <f>cost_15L_plastic_bag</f>
        <v>0.06</v>
      </c>
      <c r="G81" s="422">
        <f>(TRUNC(F54/bulk_density_small_HCF/15)+1)*days_per_year_small_HCF</f>
        <v>261</v>
      </c>
      <c r="H81" s="211"/>
      <c r="I81" s="212">
        <f>F81*G81</f>
        <v>15.66</v>
      </c>
    </row>
    <row r="82" spans="2:9" ht="12.75">
      <c r="B82" s="207">
        <v>3</v>
      </c>
      <c r="C82" s="208" t="s">
        <v>322</v>
      </c>
      <c r="D82" s="209"/>
      <c r="E82" s="210"/>
      <c r="F82" s="211">
        <f>F13</f>
        <v>0.047</v>
      </c>
      <c r="G82" s="422">
        <f>TRUNC(F7/bulk_density_small_HCF/24)+1</f>
        <v>1</v>
      </c>
      <c r="H82" s="211" t="s">
        <v>328</v>
      </c>
      <c r="I82" s="212">
        <f>F82*kWh_per_cycle_24Lautoclave*G82*days_per_year_small_HCF</f>
        <v>6.440175000000001</v>
      </c>
    </row>
    <row r="83" spans="2:9" ht="12.75">
      <c r="B83" s="207">
        <v>4</v>
      </c>
      <c r="C83" s="208" t="s">
        <v>324</v>
      </c>
      <c r="D83" s="209"/>
      <c r="E83" s="210"/>
      <c r="F83" s="211">
        <f>Cost_water_sewage</f>
        <v>1.09</v>
      </c>
      <c r="G83" s="422">
        <f>TRUNC(F7/bulk_density_small_HCF/24)+1</f>
        <v>1</v>
      </c>
      <c r="H83" s="211" t="s">
        <v>328</v>
      </c>
      <c r="I83" s="212">
        <f>F83/1000*liter_percycle_24L*G83*days_per_year_small_HCF</f>
        <v>0.142245</v>
      </c>
    </row>
    <row r="84" spans="2:9" ht="12.75">
      <c r="B84" s="207">
        <v>5</v>
      </c>
      <c r="C84" s="208" t="s">
        <v>445</v>
      </c>
      <c r="D84" s="209"/>
      <c r="E84" s="210"/>
      <c r="F84" s="211">
        <f>cost_per_autoclave_test_indicator</f>
        <v>0.187</v>
      </c>
      <c r="G84" s="422">
        <v>1</v>
      </c>
      <c r="H84" s="211" t="s">
        <v>446</v>
      </c>
      <c r="I84" s="212">
        <f>F84*G84*F10</f>
        <v>48.807</v>
      </c>
    </row>
    <row r="85" spans="2:9" ht="12.75">
      <c r="B85" s="207">
        <v>6</v>
      </c>
      <c r="C85" s="208" t="s">
        <v>327</v>
      </c>
      <c r="D85" s="209"/>
      <c r="E85" s="210"/>
      <c r="F85" s="211">
        <f>F12</f>
        <v>3</v>
      </c>
      <c r="G85" s="422">
        <f>TRUNC(F7/bulk_density_small_HCF/24)+1</f>
        <v>1</v>
      </c>
      <c r="H85" s="211" t="s">
        <v>328</v>
      </c>
      <c r="I85" s="212">
        <f>F85*G85*1/8*days_per_year_small_HCF</f>
        <v>97.875</v>
      </c>
    </row>
    <row r="86" spans="2:9" ht="12.75">
      <c r="B86" s="207">
        <v>7</v>
      </c>
      <c r="C86" s="208" t="s">
        <v>329</v>
      </c>
      <c r="D86" s="209"/>
      <c r="E86" s="210"/>
      <c r="F86" s="211"/>
      <c r="G86" s="422">
        <f>maintenance_frax_cap_cost*100</f>
        <v>5</v>
      </c>
      <c r="H86" s="211" t="s">
        <v>331</v>
      </c>
      <c r="I86" s="212">
        <f>I76*maintenance_frax_cap_cost</f>
        <v>16.425725639861565</v>
      </c>
    </row>
    <row r="87" spans="2:9" ht="13.5" thickBot="1">
      <c r="B87" s="213">
        <v>8</v>
      </c>
      <c r="C87" s="214" t="s">
        <v>332</v>
      </c>
      <c r="D87" s="215"/>
      <c r="E87" s="216"/>
      <c r="F87" s="217">
        <f>F14</f>
        <v>5</v>
      </c>
      <c r="G87" s="423">
        <v>3</v>
      </c>
      <c r="H87" s="217"/>
      <c r="I87" s="218">
        <f>F87*G87</f>
        <v>15</v>
      </c>
    </row>
    <row r="88" spans="2:9" ht="15.75" thickTop="1">
      <c r="B88" s="31"/>
      <c r="C88" s="32" t="s">
        <v>206</v>
      </c>
      <c r="D88" s="32"/>
      <c r="E88" s="32"/>
      <c r="F88" s="32"/>
      <c r="G88" s="32"/>
      <c r="H88" s="32"/>
      <c r="I88" s="62">
        <f>SUM(I80:I87)</f>
        <v>202.96014563986157</v>
      </c>
    </row>
    <row r="89" spans="2:9" ht="15.75" thickBot="1">
      <c r="B89" s="34"/>
      <c r="C89" s="35" t="s">
        <v>207</v>
      </c>
      <c r="D89" s="35"/>
      <c r="E89" s="35"/>
      <c r="F89" s="35"/>
      <c r="G89" s="35"/>
      <c r="H89" s="35"/>
      <c r="I89" s="67">
        <f>I88*number_small_HCFs</f>
        <v>91737.98582921743</v>
      </c>
    </row>
    <row r="90" ht="13.5" thickBot="1"/>
    <row r="91" spans="3:9" ht="15">
      <c r="C91" s="498" t="s">
        <v>451</v>
      </c>
      <c r="D91" s="499"/>
      <c r="E91" s="499"/>
      <c r="F91" s="499"/>
      <c r="G91" s="499"/>
      <c r="H91" s="499"/>
      <c r="I91" s="500"/>
    </row>
    <row r="92" spans="3:9" ht="12.75">
      <c r="C92" s="501" t="s">
        <v>450</v>
      </c>
      <c r="D92" s="262"/>
      <c r="E92" s="219"/>
      <c r="F92" s="306" t="s">
        <v>307</v>
      </c>
      <c r="G92" s="432" t="s">
        <v>308</v>
      </c>
      <c r="H92" s="306" t="s">
        <v>168</v>
      </c>
      <c r="I92" s="307" t="s">
        <v>453</v>
      </c>
    </row>
    <row r="93" spans="3:9" ht="15.75" thickBot="1">
      <c r="C93" s="502" t="s">
        <v>452</v>
      </c>
      <c r="D93" s="187"/>
      <c r="E93" s="188"/>
      <c r="F93" s="273">
        <v>0.4</v>
      </c>
      <c r="G93" s="273">
        <f>F9*number_small_HCFs*F10</f>
        <v>2359.44</v>
      </c>
      <c r="H93" s="273" t="s">
        <v>454</v>
      </c>
      <c r="I93" s="503">
        <f>G93*F93</f>
        <v>943.7760000000001</v>
      </c>
    </row>
    <row r="94" ht="13.5" thickBot="1"/>
    <row r="95" spans="2:9" ht="15">
      <c r="B95" s="196" t="s">
        <v>220</v>
      </c>
      <c r="C95" s="197"/>
      <c r="D95" s="87"/>
      <c r="E95" s="87"/>
      <c r="F95" s="87"/>
      <c r="G95" s="87"/>
      <c r="H95" s="87"/>
      <c r="I95" s="198"/>
    </row>
    <row r="96" spans="2:9" ht="12.75">
      <c r="B96" s="116"/>
      <c r="C96" s="117"/>
      <c r="D96" s="117"/>
      <c r="E96" s="117"/>
      <c r="F96" s="117"/>
      <c r="G96" s="117"/>
      <c r="H96" s="117"/>
      <c r="I96" s="199"/>
    </row>
    <row r="97" spans="2:9" ht="15">
      <c r="B97" s="200" t="s">
        <v>262</v>
      </c>
      <c r="C97" s="201"/>
      <c r="D97" s="201"/>
      <c r="E97" s="201"/>
      <c r="F97" s="201"/>
      <c r="G97" s="201"/>
      <c r="H97" s="201"/>
      <c r="I97" s="202"/>
    </row>
    <row r="98" spans="2:9" ht="14.25">
      <c r="B98" s="203" t="s">
        <v>263</v>
      </c>
      <c r="C98" s="204" t="s">
        <v>306</v>
      </c>
      <c r="D98" s="73"/>
      <c r="E98" s="74"/>
      <c r="F98" s="205" t="s">
        <v>307</v>
      </c>
      <c r="G98" s="421" t="s">
        <v>308</v>
      </c>
      <c r="H98" s="421" t="s">
        <v>309</v>
      </c>
      <c r="I98" s="206" t="s">
        <v>310</v>
      </c>
    </row>
    <row r="99" spans="2:9" ht="12.75">
      <c r="B99" s="207">
        <v>1</v>
      </c>
      <c r="C99" s="208" t="s">
        <v>311</v>
      </c>
      <c r="D99" s="209"/>
      <c r="E99" s="210"/>
      <c r="F99" s="211">
        <f>cost_15L_bin</f>
        <v>5</v>
      </c>
      <c r="G99" s="422">
        <f>TRUNC(F80/bulk_density_small_HCF/15)+TRUNC(F80/bulk_density_small_HCF*0.85/0.15/15)+2</f>
        <v>3</v>
      </c>
      <c r="H99" s="422">
        <f>life_15L_bin</f>
        <v>2</v>
      </c>
      <c r="I99" s="212">
        <f aca="true" t="shared" si="1" ref="I99:I104">((F99*discount_rate)/(1-(1/(1+discount_rate)^H99)))*G99</f>
        <v>7.839162561576353</v>
      </c>
    </row>
    <row r="100" spans="2:9" ht="12.75">
      <c r="B100" s="207">
        <v>2</v>
      </c>
      <c r="C100" s="208" t="s">
        <v>312</v>
      </c>
      <c r="D100" s="209"/>
      <c r="E100" s="210"/>
      <c r="F100" s="211">
        <f>cost_PPE</f>
        <v>35</v>
      </c>
      <c r="G100" s="422">
        <v>1</v>
      </c>
      <c r="H100" s="422">
        <f>life_PPE</f>
        <v>2</v>
      </c>
      <c r="I100" s="212">
        <f t="shared" si="1"/>
        <v>18.291379310344826</v>
      </c>
    </row>
    <row r="101" spans="2:9" ht="12.75">
      <c r="B101" s="207">
        <v>3</v>
      </c>
      <c r="C101" s="208" t="s">
        <v>300</v>
      </c>
      <c r="D101" s="209"/>
      <c r="E101" s="210"/>
      <c r="F101" s="211">
        <f>cost_needle_remover</f>
        <v>30</v>
      </c>
      <c r="G101" s="422">
        <v>1</v>
      </c>
      <c r="H101" s="422">
        <f>life_needle_remover</f>
        <v>4</v>
      </c>
      <c r="I101" s="212">
        <f t="shared" si="1"/>
        <v>8.070811355792479</v>
      </c>
    </row>
    <row r="102" spans="2:9" ht="12.75">
      <c r="B102" s="207">
        <v>4</v>
      </c>
      <c r="C102" s="208" t="s">
        <v>249</v>
      </c>
      <c r="D102" s="209"/>
      <c r="E102" s="210"/>
      <c r="F102" s="211">
        <f>cost_SSI</f>
        <v>1500</v>
      </c>
      <c r="G102" s="422">
        <v>1</v>
      </c>
      <c r="H102" s="422">
        <f>life_SSI</f>
        <v>3</v>
      </c>
      <c r="I102" s="212">
        <f t="shared" si="1"/>
        <v>530.2955449868972</v>
      </c>
    </row>
    <row r="103" spans="2:9" ht="12.75">
      <c r="B103" s="207">
        <v>5</v>
      </c>
      <c r="C103" s="208" t="s">
        <v>209</v>
      </c>
      <c r="D103" s="209"/>
      <c r="E103" s="210"/>
      <c r="F103" s="211">
        <f>cost_shelter_SSI</f>
        <v>1000</v>
      </c>
      <c r="G103" s="422">
        <v>1</v>
      </c>
      <c r="H103" s="422">
        <f>life_shelter_SSI</f>
        <v>5</v>
      </c>
      <c r="I103" s="212">
        <f t="shared" si="1"/>
        <v>218.35457140057622</v>
      </c>
    </row>
    <row r="104" spans="2:9" ht="13.5" thickBot="1">
      <c r="B104" s="213">
        <v>6</v>
      </c>
      <c r="C104" s="214" t="s">
        <v>213</v>
      </c>
      <c r="D104" s="215"/>
      <c r="E104" s="216"/>
      <c r="F104" s="217">
        <f>cost_small_ash_pit</f>
        <v>100</v>
      </c>
      <c r="G104" s="423">
        <v>1</v>
      </c>
      <c r="H104" s="423">
        <f>life_small_ash_pit</f>
        <v>5</v>
      </c>
      <c r="I104" s="218">
        <f t="shared" si="1"/>
        <v>21.83545714005762</v>
      </c>
    </row>
    <row r="105" spans="2:9" ht="15.75" thickTop="1">
      <c r="B105" s="31"/>
      <c r="C105" s="32" t="s">
        <v>315</v>
      </c>
      <c r="D105" s="32"/>
      <c r="E105" s="32"/>
      <c r="F105" s="32"/>
      <c r="G105" s="32"/>
      <c r="H105" s="32"/>
      <c r="I105" s="62">
        <f>SUM(I99:I104)</f>
        <v>804.6869267552447</v>
      </c>
    </row>
    <row r="106" spans="2:9" ht="15">
      <c r="B106" s="31"/>
      <c r="C106" s="32" t="s">
        <v>316</v>
      </c>
      <c r="D106" s="32"/>
      <c r="E106" s="32"/>
      <c r="F106" s="32"/>
      <c r="G106" s="32"/>
      <c r="H106" s="32"/>
      <c r="I106" s="62">
        <f>I105*number_small_HCFs</f>
        <v>363718.4908933706</v>
      </c>
    </row>
    <row r="107" spans="2:9" ht="15">
      <c r="B107" s="200" t="s">
        <v>264</v>
      </c>
      <c r="C107" s="201"/>
      <c r="D107" s="201"/>
      <c r="E107" s="201"/>
      <c r="F107" s="201"/>
      <c r="G107" s="201"/>
      <c r="H107" s="201"/>
      <c r="I107" s="202"/>
    </row>
    <row r="108" spans="2:9" ht="14.25">
      <c r="B108" s="203" t="s">
        <v>263</v>
      </c>
      <c r="C108" s="204" t="s">
        <v>306</v>
      </c>
      <c r="D108" s="73"/>
      <c r="E108" s="74"/>
      <c r="F108" s="205" t="s">
        <v>307</v>
      </c>
      <c r="G108" s="421" t="s">
        <v>308</v>
      </c>
      <c r="H108" s="205" t="s">
        <v>168</v>
      </c>
      <c r="I108" s="206" t="s">
        <v>310</v>
      </c>
    </row>
    <row r="109" spans="2:9" ht="12.75">
      <c r="B109" s="207">
        <v>1</v>
      </c>
      <c r="C109" s="208" t="s">
        <v>317</v>
      </c>
      <c r="D109" s="209"/>
      <c r="E109" s="210"/>
      <c r="F109" s="211">
        <f>cost_safety_box</f>
        <v>0.5</v>
      </c>
      <c r="G109" s="422">
        <f>F82/weight_syringe*days_per_year_small_HCF/capacity_safety_box</f>
        <v>12.267000000000001</v>
      </c>
      <c r="H109" s="211"/>
      <c r="I109" s="212">
        <f>F109*G109</f>
        <v>6.133500000000001</v>
      </c>
    </row>
    <row r="110" spans="2:9" ht="12.75">
      <c r="B110" s="207">
        <v>2</v>
      </c>
      <c r="C110" s="208" t="s">
        <v>297</v>
      </c>
      <c r="D110" s="209"/>
      <c r="E110" s="210"/>
      <c r="F110" s="211">
        <f>cost_15L_plastic_bag</f>
        <v>0.06</v>
      </c>
      <c r="G110" s="422">
        <f>(TRUNC(F80/bulk_density_small_HCF/15)+1)*days_per_year_small_HCF</f>
        <v>261</v>
      </c>
      <c r="H110" s="211"/>
      <c r="I110" s="212">
        <f>F110*G110</f>
        <v>15.66</v>
      </c>
    </row>
    <row r="111" spans="2:9" ht="12.75">
      <c r="B111" s="207">
        <v>3</v>
      </c>
      <c r="C111" s="208" t="s">
        <v>210</v>
      </c>
      <c r="D111" s="209"/>
      <c r="E111" s="210"/>
      <c r="F111" s="211">
        <f>cost_fuel_1kg</f>
        <v>0.5</v>
      </c>
      <c r="G111" s="422">
        <f>F16</f>
        <v>1</v>
      </c>
      <c r="H111" s="211" t="s">
        <v>216</v>
      </c>
      <c r="I111" s="212">
        <f>F111*G111*52</f>
        <v>26</v>
      </c>
    </row>
    <row r="112" spans="2:9" ht="12.75">
      <c r="B112" s="207">
        <v>4</v>
      </c>
      <c r="C112" s="208" t="s">
        <v>327</v>
      </c>
      <c r="D112" s="209"/>
      <c r="E112" s="210"/>
      <c r="F112" s="211">
        <f>F12</f>
        <v>3</v>
      </c>
      <c r="G112" s="422">
        <v>0.5</v>
      </c>
      <c r="H112" s="211" t="s">
        <v>217</v>
      </c>
      <c r="I112" s="212">
        <f>F112*G112*52</f>
        <v>78</v>
      </c>
    </row>
    <row r="113" spans="2:9" ht="12.75">
      <c r="B113" s="207">
        <v>5</v>
      </c>
      <c r="C113" s="208" t="s">
        <v>329</v>
      </c>
      <c r="D113" s="209"/>
      <c r="E113" s="210"/>
      <c r="F113" s="211"/>
      <c r="G113" s="422">
        <f>maintenance_frax_cap_cost*100</f>
        <v>5</v>
      </c>
      <c r="H113" s="211" t="s">
        <v>331</v>
      </c>
      <c r="I113" s="212">
        <f>I105*maintenance_frax_cap_cost</f>
        <v>40.23434633776224</v>
      </c>
    </row>
    <row r="114" spans="2:9" ht="13.5" thickBot="1">
      <c r="B114" s="213">
        <v>6</v>
      </c>
      <c r="C114" s="214" t="s">
        <v>332</v>
      </c>
      <c r="D114" s="215"/>
      <c r="E114" s="216"/>
      <c r="F114" s="217">
        <f>F14</f>
        <v>5</v>
      </c>
      <c r="G114" s="423">
        <v>3</v>
      </c>
      <c r="H114" s="217"/>
      <c r="I114" s="218">
        <f>F114*G114</f>
        <v>15</v>
      </c>
    </row>
    <row r="115" spans="2:9" ht="15.75" thickTop="1">
      <c r="B115" s="31"/>
      <c r="C115" s="32" t="s">
        <v>206</v>
      </c>
      <c r="D115" s="32"/>
      <c r="E115" s="32"/>
      <c r="F115" s="32"/>
      <c r="G115" s="32"/>
      <c r="H115" s="32"/>
      <c r="I115" s="62">
        <f>SUM(I109:I114)</f>
        <v>181.02784633776224</v>
      </c>
    </row>
    <row r="116" spans="2:9" ht="15.75" thickBot="1">
      <c r="B116" s="34"/>
      <c r="C116" s="35" t="s">
        <v>207</v>
      </c>
      <c r="D116" s="35"/>
      <c r="E116" s="35"/>
      <c r="F116" s="35"/>
      <c r="G116" s="35"/>
      <c r="H116" s="35"/>
      <c r="I116" s="67">
        <f>I115*number_small_HCFs</f>
        <v>81824.58654466853</v>
      </c>
    </row>
  </sheetData>
  <printOptions/>
  <pageMargins left="0.5" right="0.5" top="0.5" bottom="0.5" header="0.5" footer="0.5"/>
  <pageSetup orientation="portrait" r:id="rId1"/>
</worksheet>
</file>

<file path=xl/worksheets/sheet6.xml><?xml version="1.0" encoding="utf-8"?>
<worksheet xmlns="http://schemas.openxmlformats.org/spreadsheetml/2006/main" xmlns:r="http://schemas.openxmlformats.org/officeDocument/2006/relationships">
  <dimension ref="A2:I137"/>
  <sheetViews>
    <sheetView workbookViewId="0" topLeftCell="A1">
      <selection activeCell="A1" sqref="A1"/>
    </sheetView>
  </sheetViews>
  <sheetFormatPr defaultColWidth="9.140625" defaultRowHeight="12.75"/>
  <cols>
    <col min="1" max="2" width="4.7109375" style="86" customWidth="1"/>
    <col min="3" max="3" width="8.8515625" style="86" customWidth="1"/>
    <col min="4" max="4" width="16.7109375" style="86" customWidth="1"/>
    <col min="5" max="5" width="8.00390625" style="86" customWidth="1"/>
    <col min="6" max="6" width="12.140625" style="86" customWidth="1"/>
    <col min="7" max="7" width="12.140625" style="86" bestFit="1" customWidth="1"/>
    <col min="8" max="8" width="8.8515625" style="86" customWidth="1"/>
    <col min="9" max="9" width="14.140625" style="86" customWidth="1"/>
    <col min="10" max="10" width="12.00390625" style="86" customWidth="1"/>
    <col min="11" max="16384" width="8.8515625" style="86" customWidth="1"/>
  </cols>
  <sheetData>
    <row r="1" ht="13.5" thickBot="1"/>
    <row r="2" s="448" customFormat="1" ht="18.75" thickBot="1">
      <c r="A2" s="447" t="s">
        <v>65</v>
      </c>
    </row>
    <row r="3" ht="13.5" thickBot="1"/>
    <row r="4" s="450" customFormat="1" ht="16.5" thickBot="1">
      <c r="A4" s="449" t="s">
        <v>261</v>
      </c>
    </row>
    <row r="5" s="71" customFormat="1" ht="16.5" thickBot="1"/>
    <row r="6" spans="2:7" ht="15">
      <c r="B6" s="179" t="s">
        <v>306</v>
      </c>
      <c r="C6" s="57"/>
      <c r="D6" s="58"/>
      <c r="E6" s="180" t="s">
        <v>256</v>
      </c>
      <c r="F6" s="180" t="s">
        <v>257</v>
      </c>
      <c r="G6" s="181" t="s">
        <v>290</v>
      </c>
    </row>
    <row r="7" spans="2:7" ht="12.75">
      <c r="B7" s="116" t="s">
        <v>280</v>
      </c>
      <c r="C7" s="117"/>
      <c r="D7" s="182"/>
      <c r="E7" s="418">
        <v>0.2</v>
      </c>
      <c r="F7" s="184" t="s">
        <v>265</v>
      </c>
      <c r="G7" s="118">
        <v>0.2</v>
      </c>
    </row>
    <row r="8" spans="2:7" ht="12.75">
      <c r="B8" s="116" t="s">
        <v>288</v>
      </c>
      <c r="C8" s="117"/>
      <c r="D8" s="182"/>
      <c r="E8" s="416">
        <v>0.15</v>
      </c>
      <c r="F8" s="185" t="s">
        <v>289</v>
      </c>
      <c r="G8" s="118">
        <v>0.15</v>
      </c>
    </row>
    <row r="9" spans="2:7" ht="12.75">
      <c r="B9" s="116" t="s">
        <v>281</v>
      </c>
      <c r="C9" s="117"/>
      <c r="D9" s="182"/>
      <c r="E9" s="416">
        <v>0.01</v>
      </c>
      <c r="F9" s="185" t="s">
        <v>265</v>
      </c>
      <c r="G9" s="118">
        <v>0.01</v>
      </c>
    </row>
    <row r="10" spans="2:7" ht="12.75">
      <c r="B10" s="116" t="s">
        <v>282</v>
      </c>
      <c r="C10" s="117"/>
      <c r="D10" s="182"/>
      <c r="E10" s="416">
        <v>365</v>
      </c>
      <c r="F10" s="185" t="s">
        <v>283</v>
      </c>
      <c r="G10" s="118">
        <v>365</v>
      </c>
    </row>
    <row r="11" spans="2:7" ht="12.75">
      <c r="B11" s="116" t="s">
        <v>286</v>
      </c>
      <c r="C11" s="117"/>
      <c r="D11" s="182"/>
      <c r="E11" s="533">
        <v>1.09</v>
      </c>
      <c r="F11" s="185" t="s">
        <v>258</v>
      </c>
      <c r="G11" s="118">
        <v>0.5</v>
      </c>
    </row>
    <row r="12" spans="2:7" ht="12.75">
      <c r="B12" s="116" t="s">
        <v>301</v>
      </c>
      <c r="C12" s="117"/>
      <c r="D12" s="182"/>
      <c r="E12" s="533">
        <v>3</v>
      </c>
      <c r="F12" s="185" t="s">
        <v>266</v>
      </c>
      <c r="G12" s="118">
        <v>2</v>
      </c>
    </row>
    <row r="13" spans="2:7" ht="12.75">
      <c r="B13" s="116" t="s">
        <v>157</v>
      </c>
      <c r="C13" s="117"/>
      <c r="D13" s="182"/>
      <c r="E13" s="533">
        <v>24</v>
      </c>
      <c r="F13" s="185" t="s">
        <v>266</v>
      </c>
      <c r="G13" s="118">
        <v>10</v>
      </c>
    </row>
    <row r="14" spans="2:7" ht="12.75">
      <c r="B14" s="116" t="s">
        <v>302</v>
      </c>
      <c r="C14" s="117"/>
      <c r="D14" s="182"/>
      <c r="E14" s="533">
        <v>0.047</v>
      </c>
      <c r="F14" s="185" t="s">
        <v>303</v>
      </c>
      <c r="G14" s="118">
        <v>0.08</v>
      </c>
    </row>
    <row r="15" spans="2:7" ht="12.75">
      <c r="B15" s="116" t="s">
        <v>222</v>
      </c>
      <c r="C15" s="117"/>
      <c r="D15" s="182"/>
      <c r="E15" s="416">
        <v>0.2</v>
      </c>
      <c r="F15" s="185" t="s">
        <v>221</v>
      </c>
      <c r="G15" s="118">
        <f>1/5</f>
        <v>0.2</v>
      </c>
    </row>
    <row r="16" spans="2:7" ht="12.75">
      <c r="B16" s="116" t="s">
        <v>304</v>
      </c>
      <c r="C16" s="117"/>
      <c r="D16" s="182"/>
      <c r="E16" s="533">
        <v>24</v>
      </c>
      <c r="F16" s="185" t="s">
        <v>260</v>
      </c>
      <c r="G16" s="118">
        <v>5</v>
      </c>
    </row>
    <row r="17" spans="2:7" ht="13.5" thickBot="1">
      <c r="B17" s="186" t="s">
        <v>251</v>
      </c>
      <c r="C17" s="187"/>
      <c r="D17" s="188"/>
      <c r="E17" s="417">
        <v>10</v>
      </c>
      <c r="F17" s="190" t="s">
        <v>252</v>
      </c>
      <c r="G17" s="191">
        <v>10</v>
      </c>
    </row>
    <row r="18" ht="13.5" thickBot="1"/>
    <row r="19" s="450" customFormat="1" ht="16.5" thickBot="1">
      <c r="A19" s="451" t="s">
        <v>224</v>
      </c>
    </row>
    <row r="20" spans="3:4" s="52" customFormat="1" ht="16.5" thickBot="1">
      <c r="C20" s="72"/>
      <c r="D20" s="72"/>
    </row>
    <row r="21" spans="2:9" s="52" customFormat="1" ht="15.75">
      <c r="B21" s="452" t="s">
        <v>306</v>
      </c>
      <c r="C21" s="453"/>
      <c r="D21" s="453"/>
      <c r="E21" s="453"/>
      <c r="F21" s="454"/>
      <c r="G21" s="455" t="s">
        <v>256</v>
      </c>
      <c r="H21" s="456" t="s">
        <v>257</v>
      </c>
      <c r="I21" s="457"/>
    </row>
    <row r="22" spans="2:9" ht="12.75">
      <c r="B22" s="116" t="s">
        <v>225</v>
      </c>
      <c r="C22" s="117"/>
      <c r="D22" s="117"/>
      <c r="E22" s="117"/>
      <c r="F22" s="219"/>
      <c r="G22" s="183">
        <f>beds_per_medium_HCF*E7</f>
        <v>9.200000000000001</v>
      </c>
      <c r="H22" s="117" t="s">
        <v>226</v>
      </c>
      <c r="I22" s="199"/>
    </row>
    <row r="23" spans="2:9" ht="12.75">
      <c r="B23" s="116" t="s">
        <v>227</v>
      </c>
      <c r="C23" s="117"/>
      <c r="D23" s="117"/>
      <c r="E23" s="117"/>
      <c r="F23" s="182"/>
      <c r="G23" s="220">
        <f>G22/E8</f>
        <v>61.33333333333334</v>
      </c>
      <c r="H23" s="117" t="s">
        <v>228</v>
      </c>
      <c r="I23" s="199"/>
    </row>
    <row r="24" spans="2:9" ht="13.5" thickBot="1">
      <c r="B24" s="186" t="s">
        <v>239</v>
      </c>
      <c r="C24" s="187"/>
      <c r="D24" s="187"/>
      <c r="E24" s="187"/>
      <c r="F24" s="188"/>
      <c r="G24" s="189">
        <f>beds_per_medium_HCF*E9</f>
        <v>0.46</v>
      </c>
      <c r="H24" s="187" t="s">
        <v>226</v>
      </c>
      <c r="I24" s="221"/>
    </row>
    <row r="25" spans="2:9" ht="12.75">
      <c r="B25" s="117"/>
      <c r="C25" s="117"/>
      <c r="D25" s="117"/>
      <c r="E25" s="117"/>
      <c r="F25" s="117"/>
      <c r="G25" s="117"/>
      <c r="H25" s="117"/>
      <c r="I25" s="222"/>
    </row>
    <row r="26" ht="13.5" thickBot="1"/>
    <row r="27" spans="2:9" ht="15">
      <c r="B27" s="196" t="s">
        <v>314</v>
      </c>
      <c r="C27" s="197"/>
      <c r="D27" s="87"/>
      <c r="E27" s="87"/>
      <c r="F27" s="87"/>
      <c r="G27" s="87"/>
      <c r="H27" s="87"/>
      <c r="I27" s="88"/>
    </row>
    <row r="28" spans="2:9" ht="12.75">
      <c r="B28" s="116"/>
      <c r="C28" s="117"/>
      <c r="D28" s="117"/>
      <c r="E28" s="117"/>
      <c r="F28" s="117"/>
      <c r="G28" s="117"/>
      <c r="H28" s="117"/>
      <c r="I28" s="118"/>
    </row>
    <row r="29" spans="2:9" ht="15">
      <c r="B29" s="235" t="s">
        <v>262</v>
      </c>
      <c r="C29" s="237"/>
      <c r="D29" s="237"/>
      <c r="E29" s="237"/>
      <c r="F29" s="237"/>
      <c r="G29" s="237"/>
      <c r="H29" s="237"/>
      <c r="I29" s="244"/>
    </row>
    <row r="30" spans="2:9" ht="14.25">
      <c r="B30" s="203" t="s">
        <v>263</v>
      </c>
      <c r="C30" s="204" t="s">
        <v>306</v>
      </c>
      <c r="D30" s="73"/>
      <c r="E30" s="74"/>
      <c r="F30" s="205" t="s">
        <v>307</v>
      </c>
      <c r="G30" s="421" t="s">
        <v>308</v>
      </c>
      <c r="H30" s="421" t="s">
        <v>309</v>
      </c>
      <c r="I30" s="206" t="s">
        <v>310</v>
      </c>
    </row>
    <row r="31" spans="2:9" ht="12.75">
      <c r="B31" s="223">
        <v>1</v>
      </c>
      <c r="C31" s="208" t="s">
        <v>229</v>
      </c>
      <c r="D31" s="209"/>
      <c r="E31" s="210"/>
      <c r="F31" s="210">
        <f>cost_50L_bin</f>
        <v>20</v>
      </c>
      <c r="G31" s="424">
        <f>TRUNC(G23/50)+TRUNC(G23/ratio_inf_to_noninf/50)+2</f>
        <v>9</v>
      </c>
      <c r="H31" s="422">
        <f>life_50L_bin</f>
        <v>2</v>
      </c>
      <c r="I31" s="212">
        <f aca="true" t="shared" si="0" ref="I31:I37">((F31*discount_rate)/(1-(1/(1+discount_rate)^H31)))*G31</f>
        <v>94.06995073891625</v>
      </c>
    </row>
    <row r="32" spans="2:9" ht="12.75">
      <c r="B32" s="223">
        <v>2</v>
      </c>
      <c r="C32" s="208" t="s">
        <v>312</v>
      </c>
      <c r="D32" s="209"/>
      <c r="E32" s="210"/>
      <c r="F32" s="210">
        <f>cost_PPE</f>
        <v>35</v>
      </c>
      <c r="G32" s="422">
        <v>2</v>
      </c>
      <c r="H32" s="422">
        <f>life_PPE</f>
        <v>2</v>
      </c>
      <c r="I32" s="212">
        <f t="shared" si="0"/>
        <v>36.58275862068965</v>
      </c>
    </row>
    <row r="33" spans="2:9" ht="12.75">
      <c r="B33" s="223">
        <v>3</v>
      </c>
      <c r="C33" s="208" t="s">
        <v>231</v>
      </c>
      <c r="D33" s="209"/>
      <c r="E33" s="210"/>
      <c r="F33" s="210">
        <f>cost_240L_wheeled_bin</f>
        <v>45</v>
      </c>
      <c r="G33" s="422">
        <v>1</v>
      </c>
      <c r="H33" s="422">
        <f>life_240L_wheeled_bin</f>
        <v>4</v>
      </c>
      <c r="I33" s="212">
        <f t="shared" si="0"/>
        <v>12.10621703368872</v>
      </c>
    </row>
    <row r="34" spans="2:9" ht="12.75">
      <c r="B34" s="223">
        <v>4</v>
      </c>
      <c r="C34" s="208" t="s">
        <v>232</v>
      </c>
      <c r="D34" s="209"/>
      <c r="E34" s="210"/>
      <c r="F34" s="210">
        <f>cost_storage_area</f>
        <v>1000</v>
      </c>
      <c r="G34" s="422">
        <v>1</v>
      </c>
      <c r="H34" s="422">
        <f>life_storage_area</f>
        <v>10</v>
      </c>
      <c r="I34" s="212">
        <f t="shared" si="0"/>
        <v>117.23050660515962</v>
      </c>
    </row>
    <row r="35" spans="2:9" ht="12.75">
      <c r="B35" s="223">
        <v>5</v>
      </c>
      <c r="C35" s="208" t="s">
        <v>233</v>
      </c>
      <c r="D35" s="209"/>
      <c r="E35" s="210"/>
      <c r="F35" s="210">
        <f>cost_51L_autoclave</f>
        <v>1770</v>
      </c>
      <c r="G35" s="422">
        <v>1</v>
      </c>
      <c r="H35" s="422">
        <f>life_51L_autoclave</f>
        <v>5</v>
      </c>
      <c r="I35" s="212">
        <f t="shared" si="0"/>
        <v>386.48759137901993</v>
      </c>
    </row>
    <row r="36" spans="2:9" ht="12.75">
      <c r="B36" s="223">
        <v>6</v>
      </c>
      <c r="C36" s="208" t="s">
        <v>236</v>
      </c>
      <c r="D36" s="209"/>
      <c r="E36" s="210"/>
      <c r="F36" s="210">
        <f>cost_shelter_treatment_system</f>
        <v>2000</v>
      </c>
      <c r="G36" s="422">
        <v>1</v>
      </c>
      <c r="H36" s="422">
        <f>life_shelter_treatment_system</f>
        <v>10</v>
      </c>
      <c r="I36" s="212">
        <f t="shared" si="0"/>
        <v>234.46101321031924</v>
      </c>
    </row>
    <row r="37" spans="2:9" ht="13.5" thickBot="1">
      <c r="B37" s="225">
        <v>7</v>
      </c>
      <c r="C37" s="214" t="s">
        <v>295</v>
      </c>
      <c r="D37" s="215"/>
      <c r="E37" s="216"/>
      <c r="F37" s="216">
        <f>cost_sharps_pit</f>
        <v>100</v>
      </c>
      <c r="G37" s="423">
        <v>1</v>
      </c>
      <c r="H37" s="423">
        <f>life_sharps_pit</f>
        <v>5</v>
      </c>
      <c r="I37" s="218">
        <f t="shared" si="0"/>
        <v>21.83545714005762</v>
      </c>
    </row>
    <row r="38" spans="2:9" ht="15.75" thickTop="1">
      <c r="B38" s="31"/>
      <c r="C38" s="32" t="s">
        <v>237</v>
      </c>
      <c r="D38" s="32"/>
      <c r="E38" s="32"/>
      <c r="F38" s="32"/>
      <c r="G38" s="32"/>
      <c r="H38" s="32"/>
      <c r="I38" s="62">
        <f>SUM(I31:I37)</f>
        <v>902.7734947278511</v>
      </c>
    </row>
    <row r="39" spans="2:9" ht="15">
      <c r="B39" s="31"/>
      <c r="C39" s="32" t="s">
        <v>116</v>
      </c>
      <c r="D39" s="32"/>
      <c r="E39" s="32"/>
      <c r="F39" s="32"/>
      <c r="G39" s="32"/>
      <c r="H39" s="32"/>
      <c r="I39" s="62">
        <f>I38*number_medium_HCFs</f>
        <v>17152.696399829172</v>
      </c>
    </row>
    <row r="40" spans="2:9" ht="15">
      <c r="B40" s="235" t="s">
        <v>264</v>
      </c>
      <c r="C40" s="237"/>
      <c r="D40" s="237"/>
      <c r="E40" s="237"/>
      <c r="F40" s="237"/>
      <c r="G40" s="237"/>
      <c r="H40" s="237"/>
      <c r="I40" s="244"/>
    </row>
    <row r="41" spans="2:9" ht="14.25">
      <c r="B41" s="203" t="s">
        <v>263</v>
      </c>
      <c r="C41" s="204" t="s">
        <v>306</v>
      </c>
      <c r="D41" s="73"/>
      <c r="E41" s="74"/>
      <c r="F41" s="205" t="s">
        <v>307</v>
      </c>
      <c r="G41" s="421" t="s">
        <v>308</v>
      </c>
      <c r="H41" s="205" t="s">
        <v>168</v>
      </c>
      <c r="I41" s="206" t="s">
        <v>310</v>
      </c>
    </row>
    <row r="42" spans="2:9" ht="12.75">
      <c r="B42" s="223">
        <v>1</v>
      </c>
      <c r="C42" s="208" t="s">
        <v>317</v>
      </c>
      <c r="D42" s="209"/>
      <c r="E42" s="210"/>
      <c r="F42" s="210">
        <f>cost_safety_box</f>
        <v>0.5</v>
      </c>
      <c r="G42" s="424">
        <f>G24/weight_syringe/capacity_safety_box*E10</f>
        <v>167.9</v>
      </c>
      <c r="H42" s="211"/>
      <c r="I42" s="212">
        <f>F42*G42</f>
        <v>83.95</v>
      </c>
    </row>
    <row r="43" spans="2:9" ht="12.75">
      <c r="B43" s="223">
        <v>2</v>
      </c>
      <c r="C43" s="208" t="s">
        <v>270</v>
      </c>
      <c r="D43" s="209"/>
      <c r="E43" s="210"/>
      <c r="F43" s="210">
        <f>cost_50L_plastic_bag</f>
        <v>0.12</v>
      </c>
      <c r="G43" s="422">
        <f>(TRUNC(G23/50)+TRUNC(G23/ratio_inf_to_noninf/50)+2)*E10</f>
        <v>3285</v>
      </c>
      <c r="H43" s="211"/>
      <c r="I43" s="212">
        <f>F43*G43</f>
        <v>394.2</v>
      </c>
    </row>
    <row r="44" spans="2:9" ht="12.75">
      <c r="B44" s="223">
        <v>3</v>
      </c>
      <c r="C44" s="208" t="s">
        <v>322</v>
      </c>
      <c r="D44" s="209"/>
      <c r="E44" s="210"/>
      <c r="F44" s="210">
        <f>E14</f>
        <v>0.047</v>
      </c>
      <c r="G44" s="422">
        <f>TRUNC(G23/51)+1</f>
        <v>2</v>
      </c>
      <c r="H44" s="211" t="s">
        <v>328</v>
      </c>
      <c r="I44" s="212">
        <f>F44*kWh_per_cycle_51Lautoclave*G44*E10</f>
        <v>34.31</v>
      </c>
    </row>
    <row r="45" spans="2:9" ht="12.75">
      <c r="B45" s="223">
        <v>4</v>
      </c>
      <c r="C45" s="208" t="s">
        <v>324</v>
      </c>
      <c r="D45" s="209"/>
      <c r="E45" s="210"/>
      <c r="F45" s="210">
        <f>Cost_water_sewage</f>
        <v>1.09</v>
      </c>
      <c r="G45" s="422">
        <f>(TRUNC(G23/100)+1)*water_use_51Lautoclave</f>
        <v>3</v>
      </c>
      <c r="H45" s="211" t="s">
        <v>245</v>
      </c>
      <c r="I45" s="212">
        <f>F45/1000*G45*E10</f>
        <v>1.19355</v>
      </c>
    </row>
    <row r="46" spans="2:9" ht="12.75">
      <c r="B46" s="223">
        <v>5</v>
      </c>
      <c r="C46" s="208" t="s">
        <v>445</v>
      </c>
      <c r="D46" s="209"/>
      <c r="E46" s="210"/>
      <c r="F46" s="210">
        <f>cost_per_autoclave_test_indicator</f>
        <v>0.187</v>
      </c>
      <c r="G46" s="422">
        <v>1</v>
      </c>
      <c r="H46" s="211" t="s">
        <v>446</v>
      </c>
      <c r="I46" s="212">
        <f>F46*G46*E10</f>
        <v>68.255</v>
      </c>
    </row>
    <row r="47" spans="2:9" ht="12.75">
      <c r="B47" s="223">
        <v>6</v>
      </c>
      <c r="C47" s="208" t="s">
        <v>156</v>
      </c>
      <c r="D47" s="209"/>
      <c r="E47" s="210"/>
      <c r="F47" s="210">
        <f>E12</f>
        <v>3</v>
      </c>
      <c r="G47" s="422">
        <v>0.5</v>
      </c>
      <c r="H47" s="211" t="s">
        <v>241</v>
      </c>
      <c r="I47" s="212">
        <f>F47*G47*E10</f>
        <v>547.5</v>
      </c>
    </row>
    <row r="48" spans="2:9" ht="12.75">
      <c r="B48" s="223">
        <v>7</v>
      </c>
      <c r="C48" s="208" t="s">
        <v>158</v>
      </c>
      <c r="D48" s="209"/>
      <c r="E48" s="210"/>
      <c r="F48" s="210">
        <f>E13</f>
        <v>24</v>
      </c>
      <c r="G48" s="422">
        <v>0.25</v>
      </c>
      <c r="H48" s="211" t="s">
        <v>159</v>
      </c>
      <c r="I48" s="212">
        <f>F48*G48*E10</f>
        <v>2190</v>
      </c>
    </row>
    <row r="49" spans="2:9" ht="12.75">
      <c r="B49" s="223">
        <v>8</v>
      </c>
      <c r="C49" s="208" t="s">
        <v>329</v>
      </c>
      <c r="D49" s="209"/>
      <c r="E49" s="210"/>
      <c r="F49" s="210"/>
      <c r="G49" s="422">
        <f>maintenance_frax_cap_cost*100</f>
        <v>5</v>
      </c>
      <c r="H49" s="211" t="s">
        <v>331</v>
      </c>
      <c r="I49" s="212">
        <f>I38*maintenance_frax_cap_cost</f>
        <v>45.13867473639256</v>
      </c>
    </row>
    <row r="50" spans="2:9" ht="13.5" thickBot="1">
      <c r="B50" s="225">
        <v>9</v>
      </c>
      <c r="C50" s="214" t="s">
        <v>332</v>
      </c>
      <c r="D50" s="215"/>
      <c r="E50" s="216"/>
      <c r="F50" s="216">
        <f>E16</f>
        <v>24</v>
      </c>
      <c r="G50" s="423">
        <f>beds_per_medium_HCF*E15</f>
        <v>9.200000000000001</v>
      </c>
      <c r="H50" s="217"/>
      <c r="I50" s="218">
        <f>F50*G50</f>
        <v>220.8</v>
      </c>
    </row>
    <row r="51" spans="2:9" ht="15.75" thickTop="1">
      <c r="B51" s="31"/>
      <c r="C51" s="32" t="s">
        <v>161</v>
      </c>
      <c r="D51" s="32"/>
      <c r="E51" s="32"/>
      <c r="F51" s="32"/>
      <c r="G51" s="32"/>
      <c r="H51" s="32"/>
      <c r="I51" s="62">
        <f>SUM(I42:I50)</f>
        <v>3585.347224736393</v>
      </c>
    </row>
    <row r="52" spans="2:9" ht="15.75" thickBot="1">
      <c r="B52" s="34"/>
      <c r="C52" s="35" t="s">
        <v>162</v>
      </c>
      <c r="D52" s="35"/>
      <c r="E52" s="35"/>
      <c r="F52" s="35"/>
      <c r="G52" s="35"/>
      <c r="H52" s="35"/>
      <c r="I52" s="67">
        <f>I51*number_medium_HCFs</f>
        <v>68121.59726999147</v>
      </c>
    </row>
    <row r="53" spans="2:9" s="226" customFormat="1" ht="15">
      <c r="B53" s="21"/>
      <c r="C53" s="21"/>
      <c r="D53" s="21"/>
      <c r="E53" s="21"/>
      <c r="F53" s="21"/>
      <c r="G53" s="21"/>
      <c r="H53" s="21"/>
      <c r="I53" s="68"/>
    </row>
    <row r="54" ht="13.5" thickBot="1"/>
    <row r="55" spans="2:9" ht="15">
      <c r="B55" s="196" t="s">
        <v>208</v>
      </c>
      <c r="C55" s="197"/>
      <c r="D55" s="87"/>
      <c r="E55" s="87"/>
      <c r="F55" s="87"/>
      <c r="G55" s="87"/>
      <c r="H55" s="87"/>
      <c r="I55" s="88"/>
    </row>
    <row r="56" spans="2:9" ht="12.75">
      <c r="B56" s="116"/>
      <c r="C56" s="117"/>
      <c r="D56" s="117"/>
      <c r="E56" s="117"/>
      <c r="F56" s="117"/>
      <c r="G56" s="117"/>
      <c r="H56" s="117"/>
      <c r="I56" s="118"/>
    </row>
    <row r="57" spans="2:9" ht="15">
      <c r="B57" s="235" t="s">
        <v>262</v>
      </c>
      <c r="C57" s="237"/>
      <c r="D57" s="237"/>
      <c r="E57" s="237"/>
      <c r="F57" s="237"/>
      <c r="G57" s="237"/>
      <c r="H57" s="237"/>
      <c r="I57" s="244"/>
    </row>
    <row r="58" spans="2:9" ht="14.25">
      <c r="B58" s="203" t="s">
        <v>263</v>
      </c>
      <c r="C58" s="204" t="s">
        <v>306</v>
      </c>
      <c r="D58" s="73"/>
      <c r="E58" s="74"/>
      <c r="F58" s="205" t="s">
        <v>307</v>
      </c>
      <c r="G58" s="421" t="s">
        <v>308</v>
      </c>
      <c r="H58" s="421" t="s">
        <v>309</v>
      </c>
      <c r="I58" s="206" t="s">
        <v>310</v>
      </c>
    </row>
    <row r="59" spans="2:9" ht="12.75">
      <c r="B59" s="223">
        <v>1</v>
      </c>
      <c r="C59" s="208" t="s">
        <v>229</v>
      </c>
      <c r="D59" s="209"/>
      <c r="E59" s="210"/>
      <c r="F59" s="210">
        <f>cost_50L_bin</f>
        <v>20</v>
      </c>
      <c r="G59" s="424">
        <f>TRUNC(G23/50)+TRUNC(G23/ratio_inf_to_noninf/50)+2</f>
        <v>9</v>
      </c>
      <c r="H59" s="422">
        <f>life_50L_bin</f>
        <v>2</v>
      </c>
      <c r="I59" s="212">
        <f aca="true" t="shared" si="1" ref="I59:I65">((F59*discount_rate)/(1-(1/(1+discount_rate)^H59)))*G59</f>
        <v>94.06995073891625</v>
      </c>
    </row>
    <row r="60" spans="2:9" ht="12.75">
      <c r="B60" s="223">
        <v>2</v>
      </c>
      <c r="C60" s="208" t="s">
        <v>312</v>
      </c>
      <c r="D60" s="209"/>
      <c r="E60" s="210"/>
      <c r="F60" s="210">
        <f>cost_PPE</f>
        <v>35</v>
      </c>
      <c r="G60" s="422">
        <v>2</v>
      </c>
      <c r="H60" s="422">
        <f>life_PPE</f>
        <v>2</v>
      </c>
      <c r="I60" s="212">
        <f t="shared" si="1"/>
        <v>36.58275862068965</v>
      </c>
    </row>
    <row r="61" spans="2:9" ht="12.75">
      <c r="B61" s="223">
        <v>3</v>
      </c>
      <c r="C61" s="208" t="s">
        <v>231</v>
      </c>
      <c r="D61" s="209"/>
      <c r="E61" s="210"/>
      <c r="F61" s="210">
        <f>cost_240L_wheeled_bin</f>
        <v>45</v>
      </c>
      <c r="G61" s="422">
        <v>1</v>
      </c>
      <c r="H61" s="422">
        <f>life_240L_wheeled_bin</f>
        <v>4</v>
      </c>
      <c r="I61" s="212">
        <f t="shared" si="1"/>
        <v>12.10621703368872</v>
      </c>
    </row>
    <row r="62" spans="2:9" ht="12.75">
      <c r="B62" s="223">
        <v>4</v>
      </c>
      <c r="C62" s="208" t="s">
        <v>232</v>
      </c>
      <c r="D62" s="209"/>
      <c r="E62" s="210"/>
      <c r="F62" s="210">
        <f>cost_storage_area</f>
        <v>1000</v>
      </c>
      <c r="G62" s="422">
        <v>1</v>
      </c>
      <c r="H62" s="422">
        <f>life_storage_area</f>
        <v>10</v>
      </c>
      <c r="I62" s="212">
        <f t="shared" si="1"/>
        <v>117.23050660515962</v>
      </c>
    </row>
    <row r="63" spans="2:9" ht="12.75">
      <c r="B63" s="223">
        <v>5</v>
      </c>
      <c r="C63" s="208" t="s">
        <v>250</v>
      </c>
      <c r="D63" s="209"/>
      <c r="E63" s="210"/>
      <c r="F63" s="210">
        <f>cost_SSI_medium_HCF</f>
        <v>2800</v>
      </c>
      <c r="G63" s="422">
        <v>1</v>
      </c>
      <c r="H63" s="422">
        <f>life_SSI_medium_HCF</f>
        <v>5</v>
      </c>
      <c r="I63" s="212">
        <f t="shared" si="1"/>
        <v>611.3927999216133</v>
      </c>
    </row>
    <row r="64" spans="2:9" ht="12.75">
      <c r="B64" s="223">
        <v>6</v>
      </c>
      <c r="C64" s="208" t="s">
        <v>236</v>
      </c>
      <c r="D64" s="209"/>
      <c r="E64" s="210"/>
      <c r="F64" s="210">
        <f>cost_shelter_SSI</f>
        <v>1000</v>
      </c>
      <c r="G64" s="422">
        <v>1</v>
      </c>
      <c r="H64" s="422">
        <f>life_shelter_SSI</f>
        <v>5</v>
      </c>
      <c r="I64" s="212">
        <f t="shared" si="1"/>
        <v>218.35457140057622</v>
      </c>
    </row>
    <row r="65" spans="2:9" ht="13.5" thickBot="1">
      <c r="B65" s="225">
        <v>7</v>
      </c>
      <c r="C65" s="214" t="s">
        <v>213</v>
      </c>
      <c r="D65" s="215"/>
      <c r="E65" s="216"/>
      <c r="F65" s="216">
        <f>cost_medium_ash_pit</f>
        <v>250</v>
      </c>
      <c r="G65" s="423">
        <v>1</v>
      </c>
      <c r="H65" s="423">
        <f>life_medium_ash_pit</f>
        <v>5</v>
      </c>
      <c r="I65" s="218">
        <f t="shared" si="1"/>
        <v>54.588642850144055</v>
      </c>
    </row>
    <row r="66" spans="2:9" ht="15.75" thickTop="1">
      <c r="B66" s="31"/>
      <c r="C66" s="32" t="s">
        <v>237</v>
      </c>
      <c r="D66" s="32"/>
      <c r="E66" s="32"/>
      <c r="F66" s="32"/>
      <c r="G66" s="32"/>
      <c r="H66" s="32"/>
      <c r="I66" s="62">
        <f>SUM(I59:I65)</f>
        <v>1144.3254471707878</v>
      </c>
    </row>
    <row r="67" spans="2:9" ht="15">
      <c r="B67" s="31"/>
      <c r="C67" s="32" t="s">
        <v>238</v>
      </c>
      <c r="D67" s="32"/>
      <c r="E67" s="32"/>
      <c r="F67" s="32"/>
      <c r="G67" s="32"/>
      <c r="H67" s="32"/>
      <c r="I67" s="62">
        <f>I66*number_medium_HCFs</f>
        <v>21742.18349624497</v>
      </c>
    </row>
    <row r="68" spans="2:9" ht="15">
      <c r="B68" s="235" t="s">
        <v>264</v>
      </c>
      <c r="C68" s="237"/>
      <c r="D68" s="237"/>
      <c r="E68" s="237"/>
      <c r="F68" s="237"/>
      <c r="G68" s="237"/>
      <c r="H68" s="237"/>
      <c r="I68" s="244"/>
    </row>
    <row r="69" spans="2:9" ht="14.25">
      <c r="B69" s="203" t="s">
        <v>263</v>
      </c>
      <c r="C69" s="204" t="s">
        <v>306</v>
      </c>
      <c r="D69" s="73"/>
      <c r="E69" s="74"/>
      <c r="F69" s="205" t="s">
        <v>307</v>
      </c>
      <c r="G69" s="421" t="s">
        <v>308</v>
      </c>
      <c r="H69" s="205" t="s">
        <v>168</v>
      </c>
      <c r="I69" s="206" t="s">
        <v>310</v>
      </c>
    </row>
    <row r="70" spans="2:9" ht="12.75">
      <c r="B70" s="223">
        <v>1</v>
      </c>
      <c r="C70" s="208" t="s">
        <v>317</v>
      </c>
      <c r="D70" s="209"/>
      <c r="E70" s="210"/>
      <c r="F70" s="210">
        <f>cost_safety_box</f>
        <v>0.5</v>
      </c>
      <c r="G70" s="424">
        <f>G24/weight_syringe/capacity_safety_box*E10</f>
        <v>167.9</v>
      </c>
      <c r="H70" s="211"/>
      <c r="I70" s="212">
        <f>F70*G70</f>
        <v>83.95</v>
      </c>
    </row>
    <row r="71" spans="2:9" ht="12.75">
      <c r="B71" s="223">
        <v>2</v>
      </c>
      <c r="C71" s="208" t="s">
        <v>270</v>
      </c>
      <c r="D71" s="209"/>
      <c r="E71" s="210"/>
      <c r="F71" s="210">
        <f>cost_50L_plastic_bag</f>
        <v>0.12</v>
      </c>
      <c r="G71" s="422">
        <f>(TRUNC(G23/50)+TRUNC(G23/ratio_inf_to_noninf/50)+2)*E10</f>
        <v>3285</v>
      </c>
      <c r="H71" s="211"/>
      <c r="I71" s="212">
        <f>F71*G71</f>
        <v>394.2</v>
      </c>
    </row>
    <row r="72" spans="2:9" ht="12.75">
      <c r="B72" s="223">
        <v>3</v>
      </c>
      <c r="C72" s="208" t="s">
        <v>210</v>
      </c>
      <c r="D72" s="209"/>
      <c r="E72" s="210"/>
      <c r="F72" s="210">
        <f>cost_fuel_1Ldiesel</f>
        <v>0.8</v>
      </c>
      <c r="G72" s="422">
        <f>TRUNC(G22*7/36)+1</f>
        <v>2</v>
      </c>
      <c r="H72" s="211" t="s">
        <v>216</v>
      </c>
      <c r="I72" s="212">
        <f>F72*1.5*G72*52</f>
        <v>124.80000000000001</v>
      </c>
    </row>
    <row r="73" spans="2:9" ht="12.75">
      <c r="B73" s="223">
        <v>4</v>
      </c>
      <c r="C73" s="208" t="s">
        <v>156</v>
      </c>
      <c r="D73" s="209"/>
      <c r="E73" s="210"/>
      <c r="F73" s="210">
        <f>E12</f>
        <v>3</v>
      </c>
      <c r="G73" s="422">
        <v>0.5</v>
      </c>
      <c r="H73" s="211" t="s">
        <v>241</v>
      </c>
      <c r="I73" s="212">
        <f>F73*G73*E10</f>
        <v>547.5</v>
      </c>
    </row>
    <row r="74" spans="2:9" ht="12.75">
      <c r="B74" s="223">
        <v>5</v>
      </c>
      <c r="C74" s="208" t="s">
        <v>158</v>
      </c>
      <c r="D74" s="209"/>
      <c r="E74" s="210"/>
      <c r="F74" s="210">
        <f>E13</f>
        <v>24</v>
      </c>
      <c r="G74" s="422">
        <v>0.25</v>
      </c>
      <c r="H74" s="211" t="s">
        <v>159</v>
      </c>
      <c r="I74" s="212">
        <f>F74*G74*E10</f>
        <v>2190</v>
      </c>
    </row>
    <row r="75" spans="2:9" ht="12.75">
      <c r="B75" s="223">
        <v>6</v>
      </c>
      <c r="C75" s="208" t="s">
        <v>329</v>
      </c>
      <c r="D75" s="209"/>
      <c r="E75" s="210"/>
      <c r="F75" s="210"/>
      <c r="G75" s="422">
        <f>maintenance_frax_cap_cost*100</f>
        <v>5</v>
      </c>
      <c r="H75" s="211" t="s">
        <v>331</v>
      </c>
      <c r="I75" s="212">
        <f>I66*maintenance_frax_cap_cost</f>
        <v>57.21627235853939</v>
      </c>
    </row>
    <row r="76" spans="2:9" ht="13.5" thickBot="1">
      <c r="B76" s="225">
        <v>7</v>
      </c>
      <c r="C76" s="214" t="s">
        <v>332</v>
      </c>
      <c r="D76" s="215"/>
      <c r="E76" s="216"/>
      <c r="F76" s="216">
        <f>E16</f>
        <v>24</v>
      </c>
      <c r="G76" s="423">
        <f>beds_per_medium_HCF*E15</f>
        <v>9.200000000000001</v>
      </c>
      <c r="H76" s="217"/>
      <c r="I76" s="218">
        <f>F76*G76</f>
        <v>220.8</v>
      </c>
    </row>
    <row r="77" spans="2:9" ht="15.75" thickTop="1">
      <c r="B77" s="31"/>
      <c r="C77" s="32" t="s">
        <v>161</v>
      </c>
      <c r="D77" s="32"/>
      <c r="E77" s="32"/>
      <c r="F77" s="32"/>
      <c r="G77" s="32"/>
      <c r="H77" s="32"/>
      <c r="I77" s="62">
        <f>SUM(I70:I76)</f>
        <v>3618.4662723585393</v>
      </c>
    </row>
    <row r="78" spans="2:9" ht="15.75" thickBot="1">
      <c r="B78" s="34"/>
      <c r="C78" s="35" t="s">
        <v>162</v>
      </c>
      <c r="D78" s="35"/>
      <c r="E78" s="35"/>
      <c r="F78" s="35"/>
      <c r="G78" s="35"/>
      <c r="H78" s="35"/>
      <c r="I78" s="67">
        <f>I77*number_medium_HCFs</f>
        <v>68750.85917481224</v>
      </c>
    </row>
    <row r="79" spans="2:9" s="226" customFormat="1" ht="15">
      <c r="B79" s="21"/>
      <c r="C79" s="21"/>
      <c r="D79" s="21"/>
      <c r="E79" s="21"/>
      <c r="F79" s="21"/>
      <c r="G79" s="21"/>
      <c r="H79" s="21"/>
      <c r="I79" s="68"/>
    </row>
    <row r="80" s="226" customFormat="1" ht="13.5" thickBot="1"/>
    <row r="81" spans="2:9" ht="15">
      <c r="B81" s="196" t="s">
        <v>218</v>
      </c>
      <c r="C81" s="197"/>
      <c r="D81" s="87"/>
      <c r="E81" s="87"/>
      <c r="F81" s="87"/>
      <c r="G81" s="87"/>
      <c r="H81" s="87"/>
      <c r="I81" s="88"/>
    </row>
    <row r="82" spans="2:9" ht="12.75">
      <c r="B82" s="116"/>
      <c r="C82" s="117"/>
      <c r="D82" s="117"/>
      <c r="E82" s="117"/>
      <c r="F82" s="117"/>
      <c r="G82" s="117"/>
      <c r="H82" s="117"/>
      <c r="I82" s="118"/>
    </row>
    <row r="83" spans="2:9" ht="15">
      <c r="B83" s="235" t="s">
        <v>262</v>
      </c>
      <c r="C83" s="237"/>
      <c r="D83" s="237"/>
      <c r="E83" s="237"/>
      <c r="F83" s="237"/>
      <c r="G83" s="237"/>
      <c r="H83" s="237"/>
      <c r="I83" s="244"/>
    </row>
    <row r="84" spans="2:9" ht="14.25">
      <c r="B84" s="203" t="s">
        <v>263</v>
      </c>
      <c r="C84" s="204" t="s">
        <v>306</v>
      </c>
      <c r="D84" s="73"/>
      <c r="E84" s="74"/>
      <c r="F84" s="205" t="s">
        <v>307</v>
      </c>
      <c r="G84" s="421" t="s">
        <v>308</v>
      </c>
      <c r="H84" s="421" t="s">
        <v>309</v>
      </c>
      <c r="I84" s="206" t="s">
        <v>310</v>
      </c>
    </row>
    <row r="85" spans="2:9" ht="12.75">
      <c r="B85" s="223">
        <v>1</v>
      </c>
      <c r="C85" s="208" t="s">
        <v>229</v>
      </c>
      <c r="D85" s="209"/>
      <c r="E85" s="210"/>
      <c r="F85" s="210">
        <f>cost_50L_bin</f>
        <v>20</v>
      </c>
      <c r="G85" s="424">
        <f>TRUNC(G23/50)+TRUNC(G23/ratio_inf_to_noninf/50)+2</f>
        <v>9</v>
      </c>
      <c r="H85" s="422">
        <f>life_50L_bin</f>
        <v>2</v>
      </c>
      <c r="I85" s="212">
        <f aca="true" t="shared" si="2" ref="I85:I92">((F85*discount_rate)/(1-(1/(1+discount_rate)^H85)))*G85</f>
        <v>94.06995073891625</v>
      </c>
    </row>
    <row r="86" spans="2:9" ht="12.75">
      <c r="B86" s="223">
        <v>2</v>
      </c>
      <c r="C86" s="208" t="s">
        <v>312</v>
      </c>
      <c r="D86" s="209"/>
      <c r="E86" s="210"/>
      <c r="F86" s="210">
        <f>cost_PPE</f>
        <v>35</v>
      </c>
      <c r="G86" s="422">
        <v>2</v>
      </c>
      <c r="H86" s="422">
        <f>life_PPE</f>
        <v>2</v>
      </c>
      <c r="I86" s="212">
        <f t="shared" si="2"/>
        <v>36.58275862068965</v>
      </c>
    </row>
    <row r="87" spans="2:9" ht="12.75">
      <c r="B87" s="223">
        <v>3</v>
      </c>
      <c r="C87" s="208" t="s">
        <v>300</v>
      </c>
      <c r="D87" s="209"/>
      <c r="E87" s="210"/>
      <c r="F87" s="210">
        <f>cost_needle_remover</f>
        <v>30</v>
      </c>
      <c r="G87" s="422">
        <f>ROUND(beds_per_medium_HCF/E17,0)</f>
        <v>5</v>
      </c>
      <c r="H87" s="422">
        <f>life_needle_remover</f>
        <v>4</v>
      </c>
      <c r="I87" s="212">
        <f t="shared" si="2"/>
        <v>40.354056778962395</v>
      </c>
    </row>
    <row r="88" spans="2:9" ht="12.75">
      <c r="B88" s="223">
        <v>4</v>
      </c>
      <c r="C88" s="208" t="s">
        <v>231</v>
      </c>
      <c r="D88" s="209"/>
      <c r="E88" s="210"/>
      <c r="F88" s="210">
        <f>cost_240L_wheeled_bin</f>
        <v>45</v>
      </c>
      <c r="G88" s="422">
        <v>1</v>
      </c>
      <c r="H88" s="422">
        <f>life_240L_wheeled_bin</f>
        <v>4</v>
      </c>
      <c r="I88" s="212">
        <f t="shared" si="2"/>
        <v>12.10621703368872</v>
      </c>
    </row>
    <row r="89" spans="2:9" ht="12.75">
      <c r="B89" s="223">
        <v>5</v>
      </c>
      <c r="C89" s="208" t="s">
        <v>232</v>
      </c>
      <c r="D89" s="209"/>
      <c r="E89" s="210"/>
      <c r="F89" s="210">
        <f>cost_storage_area</f>
        <v>1000</v>
      </c>
      <c r="G89" s="422">
        <v>1</v>
      </c>
      <c r="H89" s="422">
        <f>life_storage_area</f>
        <v>10</v>
      </c>
      <c r="I89" s="212">
        <f t="shared" si="2"/>
        <v>117.23050660515962</v>
      </c>
    </row>
    <row r="90" spans="2:9" ht="12.75">
      <c r="B90" s="223">
        <v>6</v>
      </c>
      <c r="C90" s="208" t="s">
        <v>233</v>
      </c>
      <c r="D90" s="209"/>
      <c r="E90" s="210"/>
      <c r="F90" s="210">
        <f>cost_51L_autoclave</f>
        <v>1770</v>
      </c>
      <c r="G90" s="422">
        <v>1</v>
      </c>
      <c r="H90" s="422">
        <f>life_51L_autoclave</f>
        <v>5</v>
      </c>
      <c r="I90" s="212">
        <f t="shared" si="2"/>
        <v>386.48759137901993</v>
      </c>
    </row>
    <row r="91" spans="2:9" ht="12.75">
      <c r="B91" s="223">
        <v>7</v>
      </c>
      <c r="C91" s="208" t="s">
        <v>236</v>
      </c>
      <c r="D91" s="209"/>
      <c r="E91" s="210"/>
      <c r="F91" s="210">
        <f>cost_shelter_SSI</f>
        <v>1000</v>
      </c>
      <c r="G91" s="422">
        <v>1</v>
      </c>
      <c r="H91" s="422">
        <f>life_shelter_SSI</f>
        <v>5</v>
      </c>
      <c r="I91" s="212">
        <f t="shared" si="2"/>
        <v>218.35457140057622</v>
      </c>
    </row>
    <row r="92" spans="2:9" ht="13.5" thickBot="1">
      <c r="B92" s="225">
        <v>8</v>
      </c>
      <c r="C92" s="214" t="s">
        <v>219</v>
      </c>
      <c r="D92" s="215"/>
      <c r="E92" s="216"/>
      <c r="F92" s="216">
        <f>cost_small_pit</f>
        <v>25</v>
      </c>
      <c r="G92" s="423">
        <v>1</v>
      </c>
      <c r="H92" s="423">
        <f>life_small_pit</f>
        <v>2</v>
      </c>
      <c r="I92" s="218">
        <f t="shared" si="2"/>
        <v>13.065270935960589</v>
      </c>
    </row>
    <row r="93" spans="2:9" ht="15.75" thickTop="1">
      <c r="B93" s="31"/>
      <c r="C93" s="32" t="s">
        <v>237</v>
      </c>
      <c r="D93" s="32"/>
      <c r="E93" s="32"/>
      <c r="F93" s="32"/>
      <c r="G93" s="32"/>
      <c r="H93" s="32"/>
      <c r="I93" s="62">
        <f>SUM(I85:I92)</f>
        <v>918.2509234929734</v>
      </c>
    </row>
    <row r="94" spans="2:9" ht="12.75" customHeight="1">
      <c r="B94" s="31"/>
      <c r="C94" s="32" t="s">
        <v>238</v>
      </c>
      <c r="D94" s="32"/>
      <c r="E94" s="32"/>
      <c r="F94" s="32"/>
      <c r="G94" s="32"/>
      <c r="H94" s="32"/>
      <c r="I94" s="62">
        <f>I93*number_medium_HCFs</f>
        <v>17446.767546366493</v>
      </c>
    </row>
    <row r="95" spans="2:9" ht="12.75" customHeight="1">
      <c r="B95" s="235" t="s">
        <v>264</v>
      </c>
      <c r="C95" s="237"/>
      <c r="D95" s="237"/>
      <c r="E95" s="237"/>
      <c r="F95" s="237"/>
      <c r="G95" s="237"/>
      <c r="H95" s="237"/>
      <c r="I95" s="244"/>
    </row>
    <row r="96" spans="2:9" ht="14.25">
      <c r="B96" s="203" t="s">
        <v>263</v>
      </c>
      <c r="C96" s="204" t="s">
        <v>306</v>
      </c>
      <c r="D96" s="73"/>
      <c r="E96" s="74"/>
      <c r="F96" s="205" t="s">
        <v>307</v>
      </c>
      <c r="G96" s="421" t="s">
        <v>308</v>
      </c>
      <c r="H96" s="205" t="s">
        <v>168</v>
      </c>
      <c r="I96" s="206" t="s">
        <v>310</v>
      </c>
    </row>
    <row r="97" spans="2:9" ht="12.75">
      <c r="B97" s="223">
        <v>1</v>
      </c>
      <c r="C97" s="208" t="s">
        <v>317</v>
      </c>
      <c r="D97" s="209"/>
      <c r="E97" s="210"/>
      <c r="F97" s="210">
        <f>cost_safety_box</f>
        <v>0.5</v>
      </c>
      <c r="G97" s="424">
        <f>G24/weight_syringe/capacity_safety_box*E10</f>
        <v>167.9</v>
      </c>
      <c r="H97" s="211"/>
      <c r="I97" s="212">
        <f>F97*G97</f>
        <v>83.95</v>
      </c>
    </row>
    <row r="98" spans="2:9" ht="12.75">
      <c r="B98" s="223">
        <v>2</v>
      </c>
      <c r="C98" s="208" t="s">
        <v>270</v>
      </c>
      <c r="D98" s="209"/>
      <c r="E98" s="210"/>
      <c r="F98" s="210">
        <f>cost_50L_plastic_bag</f>
        <v>0.12</v>
      </c>
      <c r="G98" s="422">
        <f>(TRUNC(G23/50)+TRUNC(G23/ratio_inf_to_noninf/50)+2)*E10</f>
        <v>3285</v>
      </c>
      <c r="H98" s="211"/>
      <c r="I98" s="212">
        <f>F98*G98</f>
        <v>394.2</v>
      </c>
    </row>
    <row r="99" spans="2:9" ht="12.75">
      <c r="B99" s="223">
        <v>3</v>
      </c>
      <c r="C99" s="208" t="s">
        <v>322</v>
      </c>
      <c r="D99" s="209"/>
      <c r="E99" s="210"/>
      <c r="F99" s="210">
        <f>E14</f>
        <v>0.047</v>
      </c>
      <c r="G99" s="422">
        <f>TRUNC(G23/51)+1</f>
        <v>2</v>
      </c>
      <c r="H99" s="211" t="s">
        <v>328</v>
      </c>
      <c r="I99" s="212">
        <f>F44*kWh_per_cycle_51Lautoclave*G44*E10</f>
        <v>34.31</v>
      </c>
    </row>
    <row r="100" spans="2:9" ht="12.75">
      <c r="B100" s="223">
        <v>4</v>
      </c>
      <c r="C100" s="208" t="s">
        <v>324</v>
      </c>
      <c r="D100" s="209"/>
      <c r="E100" s="210"/>
      <c r="F100" s="210">
        <f>Cost_water_sewage</f>
        <v>1.09</v>
      </c>
      <c r="G100" s="422">
        <f>(TRUNC(G23/100)+1)*water_use_51Lautoclave</f>
        <v>3</v>
      </c>
      <c r="H100" s="211" t="s">
        <v>245</v>
      </c>
      <c r="I100" s="212">
        <f>F100/1000*G100*E10</f>
        <v>1.19355</v>
      </c>
    </row>
    <row r="101" spans="2:9" ht="12.75">
      <c r="B101" s="223">
        <v>5</v>
      </c>
      <c r="C101" s="208" t="s">
        <v>445</v>
      </c>
      <c r="D101" s="209"/>
      <c r="E101" s="210"/>
      <c r="F101" s="210">
        <f>cost_per_autoclave_test_indicator</f>
        <v>0.187</v>
      </c>
      <c r="G101" s="422">
        <v>1</v>
      </c>
      <c r="H101" s="211" t="s">
        <v>446</v>
      </c>
      <c r="I101" s="212">
        <f>F101*G101*E10</f>
        <v>68.255</v>
      </c>
    </row>
    <row r="102" spans="2:9" ht="12.75">
      <c r="B102" s="223">
        <v>6</v>
      </c>
      <c r="C102" s="208" t="s">
        <v>156</v>
      </c>
      <c r="D102" s="209"/>
      <c r="E102" s="210"/>
      <c r="F102" s="210">
        <f>E12</f>
        <v>3</v>
      </c>
      <c r="G102" s="422">
        <v>0.5</v>
      </c>
      <c r="H102" s="211" t="s">
        <v>241</v>
      </c>
      <c r="I102" s="212">
        <f>F102*G102*E10</f>
        <v>547.5</v>
      </c>
    </row>
    <row r="103" spans="2:9" ht="12.75">
      <c r="B103" s="223">
        <v>7</v>
      </c>
      <c r="C103" s="208" t="s">
        <v>158</v>
      </c>
      <c r="D103" s="209"/>
      <c r="E103" s="210"/>
      <c r="F103" s="210">
        <f>E13</f>
        <v>24</v>
      </c>
      <c r="G103" s="422">
        <v>0.25</v>
      </c>
      <c r="H103" s="211" t="s">
        <v>159</v>
      </c>
      <c r="I103" s="212">
        <f>F103*G103*E10</f>
        <v>2190</v>
      </c>
    </row>
    <row r="104" spans="2:9" ht="12.75">
      <c r="B104" s="223">
        <v>8</v>
      </c>
      <c r="C104" s="208" t="s">
        <v>329</v>
      </c>
      <c r="D104" s="209"/>
      <c r="E104" s="210"/>
      <c r="F104" s="210"/>
      <c r="G104" s="422">
        <f>maintenance_frax_cap_cost*100</f>
        <v>5</v>
      </c>
      <c r="H104" s="211" t="s">
        <v>331</v>
      </c>
      <c r="I104" s="212">
        <f>I93*maintenance_frax_cap_cost</f>
        <v>45.91254617464867</v>
      </c>
    </row>
    <row r="105" spans="2:9" ht="13.5" thickBot="1">
      <c r="B105" s="225">
        <v>9</v>
      </c>
      <c r="C105" s="214" t="s">
        <v>332</v>
      </c>
      <c r="D105" s="215"/>
      <c r="E105" s="216"/>
      <c r="F105" s="216">
        <f>E16</f>
        <v>24</v>
      </c>
      <c r="G105" s="423">
        <f>beds_per_medium_HCF*E15</f>
        <v>9.200000000000001</v>
      </c>
      <c r="H105" s="217"/>
      <c r="I105" s="218">
        <f>F105*G105</f>
        <v>220.8</v>
      </c>
    </row>
    <row r="106" spans="2:9" ht="15.75" thickTop="1">
      <c r="B106" s="31"/>
      <c r="C106" s="32" t="s">
        <v>161</v>
      </c>
      <c r="D106" s="32"/>
      <c r="E106" s="32"/>
      <c r="F106" s="32"/>
      <c r="G106" s="32"/>
      <c r="H106" s="32"/>
      <c r="I106" s="62">
        <f>SUM(I97:I105)</f>
        <v>3586.1210961746488</v>
      </c>
    </row>
    <row r="107" spans="2:9" ht="15.75" thickBot="1">
      <c r="B107" s="34"/>
      <c r="C107" s="35" t="s">
        <v>162</v>
      </c>
      <c r="D107" s="35"/>
      <c r="E107" s="35"/>
      <c r="F107" s="35"/>
      <c r="G107" s="35"/>
      <c r="H107" s="35"/>
      <c r="I107" s="67">
        <f>I106*number_medium_HCFs</f>
        <v>68136.30082731832</v>
      </c>
    </row>
    <row r="108" spans="2:9" s="226" customFormat="1" ht="15.75" thickBot="1">
      <c r="B108" s="21"/>
      <c r="C108" s="21"/>
      <c r="D108" s="21"/>
      <c r="E108" s="21"/>
      <c r="F108" s="21"/>
      <c r="G108" s="21"/>
      <c r="H108" s="21"/>
      <c r="I108" s="68"/>
    </row>
    <row r="109" spans="2:9" s="226" customFormat="1" ht="15">
      <c r="B109" s="21"/>
      <c r="C109" s="498" t="s">
        <v>455</v>
      </c>
      <c r="D109" s="499"/>
      <c r="E109" s="499"/>
      <c r="F109" s="499"/>
      <c r="G109" s="499"/>
      <c r="H109" s="499"/>
      <c r="I109" s="500"/>
    </row>
    <row r="110" spans="2:9" s="226" customFormat="1" ht="15">
      <c r="B110" s="21"/>
      <c r="C110" s="504" t="s">
        <v>450</v>
      </c>
      <c r="D110" s="505"/>
      <c r="E110" s="506"/>
      <c r="F110" s="507" t="s">
        <v>307</v>
      </c>
      <c r="G110" s="508" t="s">
        <v>308</v>
      </c>
      <c r="H110" s="507" t="s">
        <v>168</v>
      </c>
      <c r="I110" s="509" t="s">
        <v>453</v>
      </c>
    </row>
    <row r="111" spans="2:9" s="226" customFormat="1" ht="15.75" thickBot="1">
      <c r="B111" s="21"/>
      <c r="C111" s="510" t="s">
        <v>452</v>
      </c>
      <c r="D111" s="511"/>
      <c r="E111" s="512"/>
      <c r="F111" s="513">
        <v>0.4</v>
      </c>
      <c r="G111" s="513">
        <f>E9*beds_per_medium_HCF*number_medium_HCFs*E10</f>
        <v>3190.1</v>
      </c>
      <c r="H111" s="513" t="s">
        <v>454</v>
      </c>
      <c r="I111" s="503">
        <f>G111*F111</f>
        <v>1276.04</v>
      </c>
    </row>
    <row r="112" s="226" customFormat="1" ht="13.5" thickBot="1"/>
    <row r="113" spans="2:9" ht="15">
      <c r="B113" s="196" t="s">
        <v>220</v>
      </c>
      <c r="C113" s="197"/>
      <c r="D113" s="87"/>
      <c r="E113" s="87"/>
      <c r="F113" s="87"/>
      <c r="G113" s="87"/>
      <c r="H113" s="87"/>
      <c r="I113" s="88"/>
    </row>
    <row r="114" spans="2:9" ht="12.75">
      <c r="B114" s="116"/>
      <c r="C114" s="117"/>
      <c r="D114" s="117"/>
      <c r="E114" s="117"/>
      <c r="F114" s="117"/>
      <c r="G114" s="117"/>
      <c r="H114" s="117"/>
      <c r="I114" s="118"/>
    </row>
    <row r="115" spans="2:9" ht="15">
      <c r="B115" s="235" t="s">
        <v>262</v>
      </c>
      <c r="C115" s="237"/>
      <c r="D115" s="237"/>
      <c r="E115" s="237"/>
      <c r="F115" s="237"/>
      <c r="G115" s="237"/>
      <c r="H115" s="237"/>
      <c r="I115" s="244"/>
    </row>
    <row r="116" spans="2:9" ht="14.25">
      <c r="B116" s="203" t="s">
        <v>263</v>
      </c>
      <c r="C116" s="204" t="s">
        <v>306</v>
      </c>
      <c r="D116" s="73"/>
      <c r="E116" s="74"/>
      <c r="F116" s="205" t="s">
        <v>307</v>
      </c>
      <c r="G116" s="421" t="s">
        <v>308</v>
      </c>
      <c r="H116" s="421" t="s">
        <v>309</v>
      </c>
      <c r="I116" s="206" t="s">
        <v>310</v>
      </c>
    </row>
    <row r="117" spans="2:9" ht="12.75">
      <c r="B117" s="223">
        <v>1</v>
      </c>
      <c r="C117" s="208" t="s">
        <v>229</v>
      </c>
      <c r="D117" s="209"/>
      <c r="E117" s="210"/>
      <c r="F117" s="210">
        <f>cost_50L_bin</f>
        <v>20</v>
      </c>
      <c r="G117" s="424">
        <f>TRUNC(G23/50)+TRUNC(G23/ratio_inf_to_noninf/50)+2</f>
        <v>9</v>
      </c>
      <c r="H117" s="422">
        <f>life_50L_bin</f>
        <v>2</v>
      </c>
      <c r="I117" s="212">
        <f aca="true" t="shared" si="3" ref="I117:I124">((F117*discount_rate)/(1-(1/(1+discount_rate)^H117)))*G117</f>
        <v>94.06995073891625</v>
      </c>
    </row>
    <row r="118" spans="2:9" ht="12.75">
      <c r="B118" s="223">
        <v>2</v>
      </c>
      <c r="C118" s="208" t="s">
        <v>312</v>
      </c>
      <c r="D118" s="209"/>
      <c r="E118" s="210"/>
      <c r="F118" s="210">
        <f>cost_PPE</f>
        <v>35</v>
      </c>
      <c r="G118" s="422">
        <v>2</v>
      </c>
      <c r="H118" s="422">
        <f>life_PPE</f>
        <v>2</v>
      </c>
      <c r="I118" s="212">
        <f t="shared" si="3"/>
        <v>36.58275862068965</v>
      </c>
    </row>
    <row r="119" spans="2:9" ht="12.75">
      <c r="B119" s="223">
        <v>3</v>
      </c>
      <c r="C119" s="208" t="s">
        <v>300</v>
      </c>
      <c r="D119" s="209"/>
      <c r="E119" s="210"/>
      <c r="F119" s="210">
        <f>cost_needle_remover</f>
        <v>30</v>
      </c>
      <c r="G119" s="422">
        <f>ROUND(beds_per_medium_HCF/E17,0)</f>
        <v>5</v>
      </c>
      <c r="H119" s="422">
        <f>life_needle_remover</f>
        <v>4</v>
      </c>
      <c r="I119" s="212">
        <f t="shared" si="3"/>
        <v>40.354056778962395</v>
      </c>
    </row>
    <row r="120" spans="2:9" ht="12.75">
      <c r="B120" s="223">
        <v>4</v>
      </c>
      <c r="C120" s="208" t="s">
        <v>231</v>
      </c>
      <c r="D120" s="209"/>
      <c r="E120" s="210"/>
      <c r="F120" s="210">
        <f>cost_240L_wheeled_bin</f>
        <v>45</v>
      </c>
      <c r="G120" s="422">
        <v>1</v>
      </c>
      <c r="H120" s="422">
        <f>life_240L_wheeled_bin</f>
        <v>4</v>
      </c>
      <c r="I120" s="212">
        <f t="shared" si="3"/>
        <v>12.10621703368872</v>
      </c>
    </row>
    <row r="121" spans="2:9" ht="12.75">
      <c r="B121" s="223">
        <v>5</v>
      </c>
      <c r="C121" s="208" t="s">
        <v>232</v>
      </c>
      <c r="D121" s="209"/>
      <c r="E121" s="210"/>
      <c r="F121" s="210">
        <f>cost_storage_area</f>
        <v>1000</v>
      </c>
      <c r="G121" s="422">
        <v>1</v>
      </c>
      <c r="H121" s="422">
        <f>life_storage_area</f>
        <v>10</v>
      </c>
      <c r="I121" s="212">
        <f t="shared" si="3"/>
        <v>117.23050660515962</v>
      </c>
    </row>
    <row r="122" spans="2:9" ht="12.75">
      <c r="B122" s="223">
        <v>6</v>
      </c>
      <c r="C122" s="208" t="s">
        <v>250</v>
      </c>
      <c r="D122" s="209"/>
      <c r="E122" s="210"/>
      <c r="F122" s="210">
        <f>cost_SSI_medium_HCF</f>
        <v>2800</v>
      </c>
      <c r="G122" s="422">
        <v>1</v>
      </c>
      <c r="H122" s="422">
        <f>life_SSI_medium_HCF</f>
        <v>5</v>
      </c>
      <c r="I122" s="212">
        <f t="shared" si="3"/>
        <v>611.3927999216133</v>
      </c>
    </row>
    <row r="123" spans="2:9" ht="12.75">
      <c r="B123" s="223">
        <v>7</v>
      </c>
      <c r="C123" s="208" t="s">
        <v>236</v>
      </c>
      <c r="D123" s="209"/>
      <c r="E123" s="210"/>
      <c r="F123" s="210">
        <f>cost_shelter_SSI</f>
        <v>1000</v>
      </c>
      <c r="G123" s="422">
        <v>1</v>
      </c>
      <c r="H123" s="422">
        <f>life_shelter_SSI</f>
        <v>5</v>
      </c>
      <c r="I123" s="212">
        <f t="shared" si="3"/>
        <v>218.35457140057622</v>
      </c>
    </row>
    <row r="124" spans="2:9" ht="13.5" thickBot="1">
      <c r="B124" s="225">
        <v>8</v>
      </c>
      <c r="C124" s="214" t="s">
        <v>213</v>
      </c>
      <c r="D124" s="215"/>
      <c r="E124" s="216"/>
      <c r="F124" s="216">
        <f>cost_medium_ash_pit</f>
        <v>250</v>
      </c>
      <c r="G124" s="423">
        <v>1</v>
      </c>
      <c r="H124" s="423">
        <f>life_medium_ash_pit</f>
        <v>5</v>
      </c>
      <c r="I124" s="218">
        <f t="shared" si="3"/>
        <v>54.588642850144055</v>
      </c>
    </row>
    <row r="125" spans="2:9" ht="15.75" thickTop="1">
      <c r="B125" s="31"/>
      <c r="C125" s="32" t="s">
        <v>237</v>
      </c>
      <c r="D125" s="32"/>
      <c r="E125" s="32"/>
      <c r="F125" s="32"/>
      <c r="G125" s="32"/>
      <c r="H125" s="32"/>
      <c r="I125" s="62">
        <f>SUM(I117:I123)</f>
        <v>1130.0908610996062</v>
      </c>
    </row>
    <row r="126" spans="2:9" ht="15">
      <c r="B126" s="31"/>
      <c r="C126" s="32" t="s">
        <v>238</v>
      </c>
      <c r="D126" s="32"/>
      <c r="E126" s="32"/>
      <c r="F126" s="32"/>
      <c r="G126" s="32"/>
      <c r="H126" s="32"/>
      <c r="I126" s="62">
        <f>I125*number_medium_HCFs</f>
        <v>21471.726360892517</v>
      </c>
    </row>
    <row r="127" spans="2:9" ht="15">
      <c r="B127" s="235" t="s">
        <v>264</v>
      </c>
      <c r="C127" s="237"/>
      <c r="D127" s="237"/>
      <c r="E127" s="237"/>
      <c r="F127" s="237"/>
      <c r="G127" s="237"/>
      <c r="H127" s="237"/>
      <c r="I127" s="244"/>
    </row>
    <row r="128" spans="2:9" ht="14.25">
      <c r="B128" s="203" t="s">
        <v>263</v>
      </c>
      <c r="C128" s="204" t="s">
        <v>306</v>
      </c>
      <c r="D128" s="73"/>
      <c r="E128" s="74"/>
      <c r="F128" s="205" t="s">
        <v>307</v>
      </c>
      <c r="G128" s="421" t="s">
        <v>308</v>
      </c>
      <c r="H128" s="205" t="s">
        <v>168</v>
      </c>
      <c r="I128" s="206" t="s">
        <v>310</v>
      </c>
    </row>
    <row r="129" spans="2:9" ht="12.75">
      <c r="B129" s="223">
        <v>1</v>
      </c>
      <c r="C129" s="208" t="s">
        <v>317</v>
      </c>
      <c r="D129" s="209"/>
      <c r="E129" s="210"/>
      <c r="F129" s="210">
        <f>cost_safety_box</f>
        <v>0.5</v>
      </c>
      <c r="G129" s="424">
        <f>G24/weight_syringe/capacity_safety_box*E10</f>
        <v>167.9</v>
      </c>
      <c r="H129" s="211"/>
      <c r="I129" s="212">
        <f>F129*G129</f>
        <v>83.95</v>
      </c>
    </row>
    <row r="130" spans="2:9" ht="12.75">
      <c r="B130" s="223">
        <v>2</v>
      </c>
      <c r="C130" s="208" t="s">
        <v>270</v>
      </c>
      <c r="D130" s="209"/>
      <c r="E130" s="210"/>
      <c r="F130" s="210">
        <f>cost_50L_plastic_bag</f>
        <v>0.12</v>
      </c>
      <c r="G130" s="422">
        <f>(TRUNC(G23/50)+TRUNC(G23/ratio_inf_to_noninf/50)+2)*E10</f>
        <v>3285</v>
      </c>
      <c r="H130" s="211"/>
      <c r="I130" s="212">
        <f>F130*G130</f>
        <v>394.2</v>
      </c>
    </row>
    <row r="131" spans="2:9" ht="12.75">
      <c r="B131" s="223">
        <v>3</v>
      </c>
      <c r="C131" s="208" t="s">
        <v>210</v>
      </c>
      <c r="D131" s="209"/>
      <c r="E131" s="210"/>
      <c r="F131" s="210">
        <f>cost_fuel_1Ldiesel</f>
        <v>0.8</v>
      </c>
      <c r="G131" s="422">
        <f>TRUNC(G22*7/36)+1</f>
        <v>2</v>
      </c>
      <c r="H131" s="211" t="s">
        <v>216</v>
      </c>
      <c r="I131" s="212">
        <f>F131*1.5*G131*52</f>
        <v>124.80000000000001</v>
      </c>
    </row>
    <row r="132" spans="2:9" ht="12.75">
      <c r="B132" s="223">
        <v>4</v>
      </c>
      <c r="C132" s="208" t="s">
        <v>156</v>
      </c>
      <c r="D132" s="209"/>
      <c r="E132" s="210"/>
      <c r="F132" s="210">
        <f>E12</f>
        <v>3</v>
      </c>
      <c r="G132" s="422">
        <v>0.5</v>
      </c>
      <c r="H132" s="211" t="s">
        <v>241</v>
      </c>
      <c r="I132" s="212">
        <f>F132*G132*E10</f>
        <v>547.5</v>
      </c>
    </row>
    <row r="133" spans="2:9" ht="12.75">
      <c r="B133" s="223">
        <v>5</v>
      </c>
      <c r="C133" s="208" t="s">
        <v>158</v>
      </c>
      <c r="D133" s="209"/>
      <c r="E133" s="210"/>
      <c r="F133" s="210">
        <f>E13</f>
        <v>24</v>
      </c>
      <c r="G133" s="422">
        <v>0.25</v>
      </c>
      <c r="H133" s="211" t="s">
        <v>159</v>
      </c>
      <c r="I133" s="212">
        <f>F133*G133*E10</f>
        <v>2190</v>
      </c>
    </row>
    <row r="134" spans="2:9" ht="12.75">
      <c r="B134" s="223">
        <v>6</v>
      </c>
      <c r="C134" s="208" t="s">
        <v>329</v>
      </c>
      <c r="D134" s="209"/>
      <c r="E134" s="210"/>
      <c r="F134" s="210"/>
      <c r="G134" s="422">
        <f>maintenance_frax_cap_cost*100</f>
        <v>5</v>
      </c>
      <c r="H134" s="211" t="s">
        <v>331</v>
      </c>
      <c r="I134" s="212">
        <f>I125*maintenance_frax_cap_cost</f>
        <v>56.50454305498031</v>
      </c>
    </row>
    <row r="135" spans="2:9" ht="13.5" thickBot="1">
      <c r="B135" s="225">
        <v>7</v>
      </c>
      <c r="C135" s="214" t="s">
        <v>332</v>
      </c>
      <c r="D135" s="215"/>
      <c r="E135" s="216"/>
      <c r="F135" s="216">
        <f>E16</f>
        <v>24</v>
      </c>
      <c r="G135" s="423">
        <f>beds_per_medium_HCF*E15</f>
        <v>9.200000000000001</v>
      </c>
      <c r="H135" s="217"/>
      <c r="I135" s="218">
        <f>F135*G135</f>
        <v>220.8</v>
      </c>
    </row>
    <row r="136" spans="2:9" ht="15.75" thickTop="1">
      <c r="B136" s="31"/>
      <c r="C136" s="32" t="s">
        <v>161</v>
      </c>
      <c r="D136" s="32"/>
      <c r="E136" s="32"/>
      <c r="F136" s="32"/>
      <c r="G136" s="32"/>
      <c r="H136" s="32"/>
      <c r="I136" s="62">
        <f>SUM(I129:I135)</f>
        <v>3617.7545430549803</v>
      </c>
    </row>
    <row r="137" spans="2:9" ht="15.75" thickBot="1">
      <c r="B137" s="34"/>
      <c r="C137" s="35" t="s">
        <v>162</v>
      </c>
      <c r="D137" s="35"/>
      <c r="E137" s="35"/>
      <c r="F137" s="35"/>
      <c r="G137" s="35"/>
      <c r="H137" s="35"/>
      <c r="I137" s="67">
        <f>I136*number_medium_HCFs</f>
        <v>68737.33631804463</v>
      </c>
    </row>
  </sheetData>
  <printOptions/>
  <pageMargins left="0.5" right="0.5" top="0.5" bottom="0.5" header="0.5" footer="0.5"/>
  <pageSetup orientation="portrait" r:id="rId1"/>
  <ignoredErrors>
    <ignoredError sqref="G23" formula="1"/>
  </ignoredErrors>
</worksheet>
</file>

<file path=xl/worksheets/sheet7.xml><?xml version="1.0" encoding="utf-8"?>
<worksheet xmlns="http://schemas.openxmlformats.org/spreadsheetml/2006/main" xmlns:r="http://schemas.openxmlformats.org/officeDocument/2006/relationships">
  <dimension ref="A1:S142"/>
  <sheetViews>
    <sheetView workbookViewId="0" topLeftCell="A1">
      <selection activeCell="A1" sqref="A1"/>
    </sheetView>
  </sheetViews>
  <sheetFormatPr defaultColWidth="9.140625" defaultRowHeight="12.75"/>
  <cols>
    <col min="1" max="1" width="2.421875" style="86" customWidth="1"/>
    <col min="2" max="2" width="4.421875" style="86" customWidth="1"/>
    <col min="3" max="3" width="8.8515625" style="86" customWidth="1"/>
    <col min="4" max="4" width="18.8515625" style="86" customWidth="1"/>
    <col min="5" max="5" width="6.8515625" style="86" customWidth="1"/>
    <col min="6" max="6" width="13.140625" style="86" customWidth="1"/>
    <col min="7" max="7" width="8.00390625" style="86" customWidth="1"/>
    <col min="8" max="8" width="17.7109375" style="86" customWidth="1"/>
    <col min="9" max="9" width="14.00390625" style="178" customWidth="1"/>
    <col min="10" max="11" width="1.57421875" style="86" customWidth="1"/>
    <col min="12" max="12" width="5.140625" style="86" customWidth="1"/>
    <col min="13" max="14" width="8.8515625" style="86" customWidth="1"/>
    <col min="15" max="15" width="17.7109375" style="86" customWidth="1"/>
    <col min="16" max="17" width="8.8515625" style="86" customWidth="1"/>
    <col min="18" max="18" width="18.8515625" style="86" bestFit="1" customWidth="1"/>
    <col min="19" max="19" width="12.7109375" style="86" bestFit="1" customWidth="1"/>
    <col min="20" max="16384" width="8.8515625" style="86" customWidth="1"/>
  </cols>
  <sheetData>
    <row r="1" s="84" customFormat="1" ht="13.5" thickBot="1">
      <c r="I1" s="177"/>
    </row>
    <row r="2" spans="1:9" s="138" customFormat="1" ht="18.75" thickBot="1">
      <c r="A2" s="138" t="s">
        <v>60</v>
      </c>
      <c r="I2" s="139"/>
    </row>
    <row r="3" ht="13.5" thickBot="1"/>
    <row r="4" spans="1:9" s="20" customFormat="1" ht="16.5" thickBot="1">
      <c r="A4" s="20" t="s">
        <v>261</v>
      </c>
      <c r="I4" s="63"/>
    </row>
    <row r="5" s="8" customFormat="1" ht="13.5" thickBot="1">
      <c r="I5" s="64"/>
    </row>
    <row r="6" spans="2:7" ht="15">
      <c r="B6" s="179" t="s">
        <v>306</v>
      </c>
      <c r="C6" s="57"/>
      <c r="D6" s="58"/>
      <c r="E6" s="180" t="s">
        <v>256</v>
      </c>
      <c r="F6" s="180" t="s">
        <v>257</v>
      </c>
      <c r="G6" s="181" t="s">
        <v>290</v>
      </c>
    </row>
    <row r="7" spans="2:7" ht="12.75">
      <c r="B7" s="223" t="s">
        <v>280</v>
      </c>
      <c r="C7" s="209"/>
      <c r="D7" s="210"/>
      <c r="E7" s="407">
        <v>0.2</v>
      </c>
      <c r="F7" s="227" t="s">
        <v>265</v>
      </c>
      <c r="G7" s="228">
        <v>0.2</v>
      </c>
    </row>
    <row r="8" spans="2:7" ht="12.75">
      <c r="B8" s="207" t="s">
        <v>288</v>
      </c>
      <c r="C8" s="210"/>
      <c r="D8" s="210"/>
      <c r="E8" s="407">
        <v>0.15</v>
      </c>
      <c r="F8" s="227" t="s">
        <v>289</v>
      </c>
      <c r="G8" s="228">
        <v>0.15</v>
      </c>
    </row>
    <row r="9" spans="2:7" ht="12.75">
      <c r="B9" s="207" t="s">
        <v>281</v>
      </c>
      <c r="C9" s="210"/>
      <c r="D9" s="210"/>
      <c r="E9" s="407">
        <v>0.01</v>
      </c>
      <c r="F9" s="227" t="s">
        <v>265</v>
      </c>
      <c r="G9" s="228">
        <v>0.01</v>
      </c>
    </row>
    <row r="10" spans="2:7" ht="12.75">
      <c r="B10" s="207" t="s">
        <v>282</v>
      </c>
      <c r="C10" s="210"/>
      <c r="D10" s="210"/>
      <c r="E10" s="407">
        <v>365</v>
      </c>
      <c r="F10" s="227" t="s">
        <v>283</v>
      </c>
      <c r="G10" s="228">
        <v>365</v>
      </c>
    </row>
    <row r="11" spans="2:7" ht="12.75">
      <c r="B11" s="207" t="s">
        <v>286</v>
      </c>
      <c r="C11" s="210"/>
      <c r="D11" s="210"/>
      <c r="E11" s="533">
        <v>1.09</v>
      </c>
      <c r="F11" s="227" t="s">
        <v>258</v>
      </c>
      <c r="G11" s="228">
        <v>0.5</v>
      </c>
    </row>
    <row r="12" spans="2:7" ht="12.75">
      <c r="B12" s="207" t="s">
        <v>301</v>
      </c>
      <c r="C12" s="210"/>
      <c r="D12" s="210"/>
      <c r="E12" s="533">
        <v>3</v>
      </c>
      <c r="F12" s="227" t="s">
        <v>266</v>
      </c>
      <c r="G12" s="228">
        <v>2</v>
      </c>
    </row>
    <row r="13" spans="2:7" ht="12.75">
      <c r="B13" s="207" t="s">
        <v>148</v>
      </c>
      <c r="C13" s="210"/>
      <c r="D13" s="210"/>
      <c r="E13" s="407">
        <v>0.01</v>
      </c>
      <c r="F13" s="227" t="s">
        <v>149</v>
      </c>
      <c r="G13" s="228">
        <f>1/100</f>
        <v>0.01</v>
      </c>
    </row>
    <row r="14" spans="2:7" ht="12.75">
      <c r="B14" s="207" t="s">
        <v>157</v>
      </c>
      <c r="C14" s="210"/>
      <c r="D14" s="210"/>
      <c r="E14" s="533">
        <v>24</v>
      </c>
      <c r="F14" s="227" t="s">
        <v>266</v>
      </c>
      <c r="G14" s="228">
        <v>10</v>
      </c>
    </row>
    <row r="15" spans="2:7" ht="12.75">
      <c r="B15" s="207" t="s">
        <v>302</v>
      </c>
      <c r="C15" s="210"/>
      <c r="D15" s="210"/>
      <c r="E15" s="533">
        <v>0.047</v>
      </c>
      <c r="F15" s="227" t="s">
        <v>303</v>
      </c>
      <c r="G15" s="228">
        <v>0.08</v>
      </c>
    </row>
    <row r="16" spans="2:7" ht="12.75">
      <c r="B16" s="207" t="s">
        <v>222</v>
      </c>
      <c r="C16" s="210"/>
      <c r="D16" s="210"/>
      <c r="E16" s="407">
        <v>0.2</v>
      </c>
      <c r="F16" s="227" t="s">
        <v>221</v>
      </c>
      <c r="G16" s="228">
        <f>1/5</f>
        <v>0.2</v>
      </c>
    </row>
    <row r="17" spans="2:7" ht="12.75">
      <c r="B17" s="207" t="s">
        <v>304</v>
      </c>
      <c r="C17" s="210"/>
      <c r="D17" s="210"/>
      <c r="E17" s="533">
        <v>24</v>
      </c>
      <c r="F17" s="227" t="s">
        <v>260</v>
      </c>
      <c r="G17" s="229">
        <v>10</v>
      </c>
    </row>
    <row r="18" spans="2:7" ht="12.75">
      <c r="B18" s="207" t="s">
        <v>251</v>
      </c>
      <c r="C18" s="210"/>
      <c r="D18" s="210"/>
      <c r="E18" s="407">
        <v>10</v>
      </c>
      <c r="F18" s="227" t="s">
        <v>252</v>
      </c>
      <c r="G18" s="228">
        <v>10</v>
      </c>
    </row>
    <row r="19" spans="2:7" ht="13.5" thickBot="1">
      <c r="B19" s="230" t="s">
        <v>417</v>
      </c>
      <c r="C19" s="231"/>
      <c r="D19" s="231"/>
      <c r="E19" s="408">
        <v>0.1</v>
      </c>
      <c r="F19" s="232" t="s">
        <v>153</v>
      </c>
      <c r="G19" s="233">
        <f>1/10</f>
        <v>0.1</v>
      </c>
    </row>
    <row r="20" ht="13.5" thickBot="1"/>
    <row r="21" spans="1:9" s="20" customFormat="1" ht="16.5" thickBot="1">
      <c r="A21" s="20" t="s">
        <v>224</v>
      </c>
      <c r="I21" s="63"/>
    </row>
    <row r="22" s="8" customFormat="1" ht="13.5" thickBot="1">
      <c r="I22" s="64"/>
    </row>
    <row r="23" spans="2:19" s="21" customFormat="1" ht="15">
      <c r="B23" s="234" t="s">
        <v>61</v>
      </c>
      <c r="C23" s="22"/>
      <c r="D23" s="22"/>
      <c r="E23" s="22"/>
      <c r="F23" s="22"/>
      <c r="G23" s="22"/>
      <c r="H23" s="22"/>
      <c r="I23" s="23"/>
      <c r="J23" s="43"/>
      <c r="L23" s="234" t="s">
        <v>62</v>
      </c>
      <c r="M23" s="22"/>
      <c r="N23" s="22"/>
      <c r="O23" s="22"/>
      <c r="P23" s="22"/>
      <c r="Q23" s="22"/>
      <c r="R23" s="22"/>
      <c r="S23" s="23"/>
    </row>
    <row r="24" spans="2:19" s="24" customFormat="1" ht="15">
      <c r="B24" s="235" t="s">
        <v>306</v>
      </c>
      <c r="C24" s="25"/>
      <c r="D24" s="25"/>
      <c r="E24" s="25"/>
      <c r="F24" s="26"/>
      <c r="G24" s="236" t="s">
        <v>256</v>
      </c>
      <c r="H24" s="237" t="s">
        <v>257</v>
      </c>
      <c r="I24" s="65"/>
      <c r="J24" s="44"/>
      <c r="L24" s="235" t="s">
        <v>306</v>
      </c>
      <c r="M24" s="25"/>
      <c r="N24" s="25"/>
      <c r="O24" s="25"/>
      <c r="P24" s="26"/>
      <c r="Q24" s="236" t="s">
        <v>256</v>
      </c>
      <c r="R24" s="237" t="s">
        <v>257</v>
      </c>
      <c r="S24" s="27"/>
    </row>
    <row r="25" spans="2:19" ht="12.75">
      <c r="B25" s="223" t="s">
        <v>225</v>
      </c>
      <c r="C25" s="209"/>
      <c r="D25" s="209"/>
      <c r="E25" s="209"/>
      <c r="F25" s="210"/>
      <c r="G25" s="402">
        <f>beds_per_large_A_HCF*E7</f>
        <v>42.800000000000004</v>
      </c>
      <c r="H25" s="403" t="s">
        <v>254</v>
      </c>
      <c r="I25" s="77"/>
      <c r="J25" s="182"/>
      <c r="L25" s="223" t="s">
        <v>225</v>
      </c>
      <c r="M25" s="209"/>
      <c r="N25" s="209"/>
      <c r="O25" s="209"/>
      <c r="P25" s="210"/>
      <c r="Q25" s="402">
        <f>beds_per_large_B_HCF*E7</f>
        <v>0</v>
      </c>
      <c r="R25" s="403" t="s">
        <v>19</v>
      </c>
      <c r="S25" s="77"/>
    </row>
    <row r="26" spans="2:19" ht="12.75">
      <c r="B26" s="223" t="s">
        <v>227</v>
      </c>
      <c r="C26" s="209"/>
      <c r="D26" s="209"/>
      <c r="E26" s="209"/>
      <c r="F26" s="210"/>
      <c r="G26" s="404">
        <f>G25/E8</f>
        <v>285.33333333333337</v>
      </c>
      <c r="H26" s="403" t="s">
        <v>255</v>
      </c>
      <c r="I26" s="77"/>
      <c r="J26" s="182"/>
      <c r="L26" s="223" t="s">
        <v>227</v>
      </c>
      <c r="M26" s="209"/>
      <c r="N26" s="209"/>
      <c r="O26" s="209"/>
      <c r="P26" s="210"/>
      <c r="Q26" s="404">
        <f>Q25/E8</f>
        <v>0</v>
      </c>
      <c r="R26" s="403" t="s">
        <v>20</v>
      </c>
      <c r="S26" s="77"/>
    </row>
    <row r="27" spans="2:19" ht="12.75">
      <c r="B27" s="238" t="s">
        <v>239</v>
      </c>
      <c r="C27" s="239"/>
      <c r="D27" s="239"/>
      <c r="E27" s="239"/>
      <c r="F27" s="240"/>
      <c r="G27" s="405">
        <f>beds_per_large_A_HCF*E9</f>
        <v>2.14</v>
      </c>
      <c r="H27" s="406" t="s">
        <v>254</v>
      </c>
      <c r="I27" s="76"/>
      <c r="J27" s="182"/>
      <c r="L27" s="238" t="s">
        <v>239</v>
      </c>
      <c r="M27" s="239"/>
      <c r="N27" s="239"/>
      <c r="O27" s="239"/>
      <c r="P27" s="240"/>
      <c r="Q27" s="405">
        <f>beds_per_large_B_HCF*E9</f>
        <v>0</v>
      </c>
      <c r="R27" s="406" t="s">
        <v>19</v>
      </c>
      <c r="S27" s="76"/>
    </row>
    <row r="28" spans="8:10" ht="12.75">
      <c r="H28" s="12"/>
      <c r="I28" s="66"/>
      <c r="J28" s="182"/>
    </row>
    <row r="29" ht="13.5" thickBot="1">
      <c r="J29" s="182"/>
    </row>
    <row r="30" spans="2:19" s="24" customFormat="1" ht="15.75" thickBot="1">
      <c r="B30" s="241" t="s">
        <v>147</v>
      </c>
      <c r="C30" s="29"/>
      <c r="D30" s="29"/>
      <c r="E30" s="29"/>
      <c r="F30" s="29"/>
      <c r="G30" s="29"/>
      <c r="H30" s="29"/>
      <c r="I30" s="30"/>
      <c r="J30" s="43"/>
      <c r="L30" s="241" t="s">
        <v>171</v>
      </c>
      <c r="M30" s="29"/>
      <c r="N30" s="29"/>
      <c r="O30" s="29"/>
      <c r="P30" s="29"/>
      <c r="Q30" s="29"/>
      <c r="R30" s="29"/>
      <c r="S30" s="30"/>
    </row>
    <row r="31" spans="2:19" s="40" customFormat="1" ht="15">
      <c r="B31" s="21"/>
      <c r="C31" s="21"/>
      <c r="D31" s="21"/>
      <c r="E31" s="21"/>
      <c r="F31" s="21"/>
      <c r="G31" s="21"/>
      <c r="H31" s="21"/>
      <c r="I31" s="68"/>
      <c r="J31" s="43"/>
      <c r="L31" s="21"/>
      <c r="M31" s="28"/>
      <c r="N31" s="28"/>
      <c r="O31" s="28"/>
      <c r="P31" s="28"/>
      <c r="Q31" s="28"/>
      <c r="R31" s="28"/>
      <c r="S31" s="28"/>
    </row>
    <row r="32" ht="13.5" thickBot="1">
      <c r="J32" s="182"/>
    </row>
    <row r="33" spans="2:19" s="24" customFormat="1" ht="15">
      <c r="B33" s="196" t="s">
        <v>314</v>
      </c>
      <c r="C33" s="197"/>
      <c r="D33" s="36"/>
      <c r="E33" s="36"/>
      <c r="F33" s="36"/>
      <c r="G33" s="36"/>
      <c r="H33" s="36"/>
      <c r="I33" s="69"/>
      <c r="J33" s="45"/>
      <c r="L33" s="196" t="s">
        <v>314</v>
      </c>
      <c r="M33" s="242"/>
      <c r="N33" s="36"/>
      <c r="O33" s="36"/>
      <c r="P33" s="36"/>
      <c r="Q33" s="36"/>
      <c r="R33" s="36"/>
      <c r="S33" s="37"/>
    </row>
    <row r="34" spans="2:19" ht="12.75">
      <c r="B34" s="116"/>
      <c r="C34" s="117"/>
      <c r="D34" s="117"/>
      <c r="E34" s="117"/>
      <c r="F34" s="117"/>
      <c r="G34" s="117"/>
      <c r="H34" s="117"/>
      <c r="I34" s="199"/>
      <c r="J34" s="182"/>
      <c r="L34" s="116"/>
      <c r="M34" s="117"/>
      <c r="N34" s="117"/>
      <c r="O34" s="117"/>
      <c r="P34" s="117"/>
      <c r="Q34" s="117"/>
      <c r="R34" s="117"/>
      <c r="S34" s="118"/>
    </row>
    <row r="35" spans="2:19" s="24" customFormat="1" ht="15">
      <c r="B35" s="235" t="s">
        <v>262</v>
      </c>
      <c r="C35" s="243"/>
      <c r="D35" s="243"/>
      <c r="E35" s="243"/>
      <c r="F35" s="237"/>
      <c r="G35" s="237"/>
      <c r="H35" s="237"/>
      <c r="I35" s="244"/>
      <c r="J35" s="45"/>
      <c r="L35" s="235" t="s">
        <v>262</v>
      </c>
      <c r="M35" s="237"/>
      <c r="N35" s="237"/>
      <c r="O35" s="237"/>
      <c r="P35" s="237"/>
      <c r="Q35" s="237"/>
      <c r="R35" s="237"/>
      <c r="S35" s="245"/>
    </row>
    <row r="36" spans="2:19" s="24" customFormat="1" ht="14.25">
      <c r="B36" s="246" t="s">
        <v>263</v>
      </c>
      <c r="C36" s="247" t="s">
        <v>306</v>
      </c>
      <c r="D36" s="248"/>
      <c r="E36" s="249"/>
      <c r="F36" s="249" t="s">
        <v>307</v>
      </c>
      <c r="G36" s="425" t="s">
        <v>308</v>
      </c>
      <c r="H36" s="425" t="s">
        <v>309</v>
      </c>
      <c r="I36" s="251" t="s">
        <v>310</v>
      </c>
      <c r="J36" s="45"/>
      <c r="L36" s="252" t="s">
        <v>263</v>
      </c>
      <c r="M36" s="247" t="s">
        <v>306</v>
      </c>
      <c r="N36" s="248"/>
      <c r="O36" s="249"/>
      <c r="P36" s="250" t="s">
        <v>307</v>
      </c>
      <c r="Q36" s="425" t="s">
        <v>308</v>
      </c>
      <c r="R36" s="425" t="s">
        <v>309</v>
      </c>
      <c r="S36" s="253" t="s">
        <v>310</v>
      </c>
    </row>
    <row r="37" spans="2:19" ht="12.75">
      <c r="B37" s="223">
        <v>1</v>
      </c>
      <c r="C37" s="208" t="s">
        <v>229</v>
      </c>
      <c r="D37" s="209"/>
      <c r="E37" s="210"/>
      <c r="F37" s="210">
        <f>cost_50L_bin</f>
        <v>20</v>
      </c>
      <c r="G37" s="424">
        <f>TRUNC(G26/50)+TRUNC(G26/ratio_inf_to_noninf/50)+2</f>
        <v>39</v>
      </c>
      <c r="H37" s="422">
        <f>life_50L_bin</f>
        <v>2</v>
      </c>
      <c r="I37" s="212">
        <f aca="true" t="shared" si="0" ref="I37:I44">((F37*discount_rate)/(1-(1/(1+discount_rate)^H37)))*G37</f>
        <v>407.63645320197037</v>
      </c>
      <c r="J37" s="182"/>
      <c r="L37" s="207">
        <v>1</v>
      </c>
      <c r="M37" s="208" t="s">
        <v>229</v>
      </c>
      <c r="N37" s="209"/>
      <c r="O37" s="210"/>
      <c r="P37" s="211">
        <f>cost_50L_bin</f>
        <v>20</v>
      </c>
      <c r="Q37" s="424">
        <f>TRUNC(Q26/50)+TRUNC(Q26/ratio_inf_to_noninf/50)+2</f>
        <v>2</v>
      </c>
      <c r="R37" s="422">
        <f>life_50L_bin</f>
        <v>2</v>
      </c>
      <c r="S37" s="486">
        <f aca="true" t="shared" si="1" ref="S37:S44">((P37*discount_rate)/(1-(1/(1+discount_rate)^R37)))*Q37</f>
        <v>20.904433497536942</v>
      </c>
    </row>
    <row r="38" spans="2:19" ht="12.75">
      <c r="B38" s="223">
        <v>2</v>
      </c>
      <c r="C38" s="208" t="s">
        <v>312</v>
      </c>
      <c r="D38" s="209"/>
      <c r="E38" s="210"/>
      <c r="F38" s="210">
        <f>cost_PPE</f>
        <v>35</v>
      </c>
      <c r="G38" s="422">
        <f>ROUND(E13*beds_per_large_A_HCF,0)</f>
        <v>2</v>
      </c>
      <c r="H38" s="422">
        <f>life_PPE</f>
        <v>2</v>
      </c>
      <c r="I38" s="212">
        <f t="shared" si="0"/>
        <v>36.58275862068965</v>
      </c>
      <c r="J38" s="182"/>
      <c r="L38" s="207">
        <v>2</v>
      </c>
      <c r="M38" s="208" t="s">
        <v>312</v>
      </c>
      <c r="N38" s="209"/>
      <c r="O38" s="210"/>
      <c r="P38" s="211">
        <f>cost_PPE</f>
        <v>35</v>
      </c>
      <c r="Q38" s="422">
        <f>ROUND(E13*beds_per_large_B_HCF,0)</f>
        <v>0</v>
      </c>
      <c r="R38" s="422">
        <f>life_PPE</f>
        <v>2</v>
      </c>
      <c r="S38" s="486">
        <f t="shared" si="1"/>
        <v>0</v>
      </c>
    </row>
    <row r="39" spans="2:19" ht="12.75">
      <c r="B39" s="223">
        <v>3</v>
      </c>
      <c r="C39" s="208" t="s">
        <v>231</v>
      </c>
      <c r="D39" s="209"/>
      <c r="E39" s="210"/>
      <c r="F39" s="210">
        <f>cost_240L_wheeled_bin</f>
        <v>45</v>
      </c>
      <c r="G39" s="422">
        <f>ROUND(E13*beds_per_large_A_HCF,0)</f>
        <v>2</v>
      </c>
      <c r="H39" s="422">
        <f>life_240L_wheeled_bin</f>
        <v>4</v>
      </c>
      <c r="I39" s="212">
        <f t="shared" si="0"/>
        <v>24.21243406737744</v>
      </c>
      <c r="J39" s="182"/>
      <c r="L39" s="207">
        <v>3</v>
      </c>
      <c r="M39" s="208" t="s">
        <v>231</v>
      </c>
      <c r="N39" s="209"/>
      <c r="O39" s="210"/>
      <c r="P39" s="211">
        <f>cost_240L_wheeled_bin</f>
        <v>45</v>
      </c>
      <c r="Q39" s="422">
        <f>ROUND(E13*beds_per_large_B_HCF,0)</f>
        <v>0</v>
      </c>
      <c r="R39" s="422">
        <f>life_240L_wheeled_bin</f>
        <v>4</v>
      </c>
      <c r="S39" s="486">
        <f t="shared" si="1"/>
        <v>0</v>
      </c>
    </row>
    <row r="40" spans="2:19" ht="12.75">
      <c r="B40" s="223">
        <v>4</v>
      </c>
      <c r="C40" s="208" t="s">
        <v>232</v>
      </c>
      <c r="D40" s="209"/>
      <c r="E40" s="210"/>
      <c r="F40" s="210">
        <f>cost_large_storage_area</f>
        <v>2000</v>
      </c>
      <c r="G40" s="422">
        <v>1</v>
      </c>
      <c r="H40" s="422">
        <f>life_large_storage_area</f>
        <v>10</v>
      </c>
      <c r="I40" s="212">
        <f t="shared" si="0"/>
        <v>234.46101321031924</v>
      </c>
      <c r="J40" s="182"/>
      <c r="L40" s="207">
        <v>4</v>
      </c>
      <c r="M40" s="208" t="s">
        <v>232</v>
      </c>
      <c r="N40" s="209"/>
      <c r="O40" s="210"/>
      <c r="P40" s="211">
        <f>cost_large_storage_area</f>
        <v>2000</v>
      </c>
      <c r="Q40" s="422">
        <v>1</v>
      </c>
      <c r="R40" s="422">
        <f>life_large_storage_area</f>
        <v>10</v>
      </c>
      <c r="S40" s="486">
        <f t="shared" si="1"/>
        <v>234.46101321031924</v>
      </c>
    </row>
    <row r="41" spans="2:19" ht="12.75">
      <c r="B41" s="223">
        <v>5</v>
      </c>
      <c r="C41" s="208" t="s">
        <v>151</v>
      </c>
      <c r="D41" s="209"/>
      <c r="E41" s="210"/>
      <c r="F41" s="210">
        <f>cost_125L_autoclave</f>
        <v>31200</v>
      </c>
      <c r="G41" s="422">
        <v>1</v>
      </c>
      <c r="H41" s="422">
        <f>life_125L_autoclave</f>
        <v>10</v>
      </c>
      <c r="I41" s="212">
        <f t="shared" si="0"/>
        <v>3657.59180608098</v>
      </c>
      <c r="J41" s="182"/>
      <c r="L41" s="207">
        <v>5</v>
      </c>
      <c r="M41" s="208" t="s">
        <v>172</v>
      </c>
      <c r="N41" s="209"/>
      <c r="O41" s="210"/>
      <c r="P41" s="211">
        <f>cost_340L_autoclave</f>
        <v>36500</v>
      </c>
      <c r="Q41" s="422">
        <v>1</v>
      </c>
      <c r="R41" s="422">
        <f>life_340L_autoclave</f>
        <v>10</v>
      </c>
      <c r="S41" s="486">
        <f t="shared" si="1"/>
        <v>4278.913491088326</v>
      </c>
    </row>
    <row r="42" spans="2:19" ht="12.75">
      <c r="B42" s="223">
        <v>6</v>
      </c>
      <c r="C42" s="208" t="s">
        <v>236</v>
      </c>
      <c r="D42" s="209"/>
      <c r="E42" s="210"/>
      <c r="F42" s="210">
        <f>cost_shelter_treatment_system</f>
        <v>2000</v>
      </c>
      <c r="G42" s="422">
        <v>1</v>
      </c>
      <c r="H42" s="422">
        <f>life_shelter_treatment_system</f>
        <v>10</v>
      </c>
      <c r="I42" s="212">
        <f t="shared" si="0"/>
        <v>234.46101321031924</v>
      </c>
      <c r="J42" s="182"/>
      <c r="L42" s="207">
        <v>6</v>
      </c>
      <c r="M42" s="208" t="s">
        <v>236</v>
      </c>
      <c r="N42" s="209"/>
      <c r="O42" s="210"/>
      <c r="P42" s="211">
        <f>cost_shelter_treatment_system</f>
        <v>2000</v>
      </c>
      <c r="Q42" s="422">
        <v>1</v>
      </c>
      <c r="R42" s="422">
        <f>life_shelter_treatment_system</f>
        <v>10</v>
      </c>
      <c r="S42" s="486">
        <f t="shared" si="1"/>
        <v>234.46101321031924</v>
      </c>
    </row>
    <row r="43" spans="2:19" ht="12.75">
      <c r="B43" s="223">
        <v>7</v>
      </c>
      <c r="C43" s="208" t="s">
        <v>152</v>
      </c>
      <c r="D43" s="209"/>
      <c r="E43" s="210"/>
      <c r="F43" s="210">
        <f>cost_reusable_sharps_container</f>
        <v>35</v>
      </c>
      <c r="G43" s="422">
        <f>ROUND(E19*beds_per_large_A_HCF,0)</f>
        <v>21</v>
      </c>
      <c r="H43" s="422">
        <f>life_reusable_sharps_container</f>
        <v>2</v>
      </c>
      <c r="I43" s="212">
        <f t="shared" si="0"/>
        <v>384.11896551724135</v>
      </c>
      <c r="J43" s="182"/>
      <c r="L43" s="207">
        <v>7</v>
      </c>
      <c r="M43" s="208" t="s">
        <v>152</v>
      </c>
      <c r="N43" s="209"/>
      <c r="O43" s="210"/>
      <c r="P43" s="211">
        <f>cost_reusable_sharps_container</f>
        <v>35</v>
      </c>
      <c r="Q43" s="422">
        <f>ROUND(E19*beds_per_large_B_HCF,0)</f>
        <v>0</v>
      </c>
      <c r="R43" s="422">
        <f>life_reusable_sharps_container</f>
        <v>2</v>
      </c>
      <c r="S43" s="486">
        <f t="shared" si="1"/>
        <v>0</v>
      </c>
    </row>
    <row r="44" spans="2:19" ht="13.5" thickBot="1">
      <c r="B44" s="225">
        <v>8</v>
      </c>
      <c r="C44" s="214" t="s">
        <v>295</v>
      </c>
      <c r="D44" s="215"/>
      <c r="E44" s="216"/>
      <c r="F44" s="216">
        <f>cost_sharps_pit</f>
        <v>100</v>
      </c>
      <c r="G44" s="423">
        <v>1</v>
      </c>
      <c r="H44" s="423">
        <f>life_sharps_pit</f>
        <v>5</v>
      </c>
      <c r="I44" s="218">
        <f t="shared" si="0"/>
        <v>21.83545714005762</v>
      </c>
      <c r="J44" s="182"/>
      <c r="L44" s="213">
        <v>8</v>
      </c>
      <c r="M44" s="214" t="s">
        <v>295</v>
      </c>
      <c r="N44" s="215"/>
      <c r="O44" s="216"/>
      <c r="P44" s="217">
        <f>cost_sharps_pit</f>
        <v>100</v>
      </c>
      <c r="Q44" s="423">
        <v>1</v>
      </c>
      <c r="R44" s="423">
        <f>life_sharps_pit</f>
        <v>5</v>
      </c>
      <c r="S44" s="487">
        <f t="shared" si="1"/>
        <v>21.83545714005762</v>
      </c>
    </row>
    <row r="45" spans="2:19" s="33" customFormat="1" ht="15.75" thickTop="1">
      <c r="B45" s="31"/>
      <c r="C45" s="32" t="s">
        <v>163</v>
      </c>
      <c r="D45" s="32"/>
      <c r="E45" s="32"/>
      <c r="F45" s="32"/>
      <c r="G45" s="32"/>
      <c r="H45" s="32"/>
      <c r="I45" s="62">
        <f>SUM(I37:I44)</f>
        <v>5000.899901048954</v>
      </c>
      <c r="J45" s="46"/>
      <c r="L45" s="31"/>
      <c r="M45" s="32" t="s">
        <v>21</v>
      </c>
      <c r="N45" s="32"/>
      <c r="O45" s="32"/>
      <c r="P45" s="32"/>
      <c r="Q45" s="32"/>
      <c r="R45" s="32"/>
      <c r="S45" s="488">
        <f>SUM(S37:S44)</f>
        <v>4790.575408146558</v>
      </c>
    </row>
    <row r="46" spans="2:19" s="33" customFormat="1" ht="15">
      <c r="B46" s="31"/>
      <c r="C46" s="32" t="s">
        <v>164</v>
      </c>
      <c r="D46" s="32"/>
      <c r="E46" s="32"/>
      <c r="F46" s="32"/>
      <c r="G46" s="32"/>
      <c r="H46" s="32"/>
      <c r="I46" s="62">
        <f>I45*number_large_A_HCFs</f>
        <v>40007.199208391634</v>
      </c>
      <c r="J46" s="46"/>
      <c r="L46" s="31"/>
      <c r="M46" s="32" t="s">
        <v>22</v>
      </c>
      <c r="N46" s="32"/>
      <c r="O46" s="32"/>
      <c r="P46" s="32"/>
      <c r="Q46" s="32"/>
      <c r="R46" s="32"/>
      <c r="S46" s="488">
        <f>S45*number_large_B_HCFs</f>
        <v>0</v>
      </c>
    </row>
    <row r="47" spans="2:19" s="24" customFormat="1" ht="15">
      <c r="B47" s="235" t="s">
        <v>264</v>
      </c>
      <c r="C47" s="237"/>
      <c r="D47" s="237"/>
      <c r="E47" s="237"/>
      <c r="F47" s="237"/>
      <c r="G47" s="237"/>
      <c r="H47" s="237"/>
      <c r="I47" s="244"/>
      <c r="J47" s="45"/>
      <c r="L47" s="235" t="s">
        <v>264</v>
      </c>
      <c r="M47" s="237"/>
      <c r="N47" s="237"/>
      <c r="O47" s="237"/>
      <c r="P47" s="237"/>
      <c r="Q47" s="237"/>
      <c r="R47" s="237"/>
      <c r="S47" s="245"/>
    </row>
    <row r="48" spans="2:19" s="24" customFormat="1" ht="14.25">
      <c r="B48" s="252" t="s">
        <v>263</v>
      </c>
      <c r="C48" s="247" t="s">
        <v>306</v>
      </c>
      <c r="D48" s="248"/>
      <c r="E48" s="249"/>
      <c r="F48" s="250" t="s">
        <v>307</v>
      </c>
      <c r="G48" s="425" t="s">
        <v>308</v>
      </c>
      <c r="H48" s="250" t="s">
        <v>168</v>
      </c>
      <c r="I48" s="251" t="s">
        <v>310</v>
      </c>
      <c r="J48" s="45"/>
      <c r="L48" s="252" t="s">
        <v>263</v>
      </c>
      <c r="M48" s="247" t="s">
        <v>306</v>
      </c>
      <c r="N48" s="248"/>
      <c r="O48" s="249"/>
      <c r="P48" s="250" t="s">
        <v>307</v>
      </c>
      <c r="Q48" s="425" t="s">
        <v>308</v>
      </c>
      <c r="R48" s="250" t="s">
        <v>168</v>
      </c>
      <c r="S48" s="253" t="s">
        <v>310</v>
      </c>
    </row>
    <row r="49" spans="2:19" ht="12.75">
      <c r="B49" s="207">
        <v>1</v>
      </c>
      <c r="C49" s="208" t="s">
        <v>270</v>
      </c>
      <c r="D49" s="209"/>
      <c r="E49" s="210"/>
      <c r="F49" s="211">
        <f>cost_50L_plastic_bag</f>
        <v>0.12</v>
      </c>
      <c r="G49" s="422">
        <f>(TRUNC(G26/50)+TRUNC(G26/ratio_inf_to_noninf/50)+2)*E10</f>
        <v>14235</v>
      </c>
      <c r="H49" s="211"/>
      <c r="I49" s="212">
        <f>F49*G49</f>
        <v>1708.2</v>
      </c>
      <c r="J49" s="182"/>
      <c r="L49" s="207">
        <v>1</v>
      </c>
      <c r="M49" s="208" t="s">
        <v>270</v>
      </c>
      <c r="N49" s="209"/>
      <c r="O49" s="210"/>
      <c r="P49" s="211">
        <f>cost_50L_plastic_bag</f>
        <v>0.12</v>
      </c>
      <c r="Q49" s="422">
        <f>(TRUNC(Q26/50)+TRUNC(Q26/ratio_inf_to_noninf/50)+2)*E10</f>
        <v>730</v>
      </c>
      <c r="R49" s="211"/>
      <c r="S49" s="486">
        <f>P49*Q49</f>
        <v>87.6</v>
      </c>
    </row>
    <row r="50" spans="2:19" ht="12.75">
      <c r="B50" s="207">
        <v>2</v>
      </c>
      <c r="C50" s="208" t="s">
        <v>322</v>
      </c>
      <c r="D50" s="209"/>
      <c r="E50" s="210"/>
      <c r="F50" s="211">
        <f>E15</f>
        <v>0.047</v>
      </c>
      <c r="G50" s="424">
        <f>kWh_per_liter_large_autoclave*G26*E10</f>
        <v>1041.466666666667</v>
      </c>
      <c r="H50" s="211" t="s">
        <v>154</v>
      </c>
      <c r="I50" s="212">
        <f>F50*G50</f>
        <v>48.94893333333334</v>
      </c>
      <c r="J50" s="182"/>
      <c r="L50" s="207">
        <v>2</v>
      </c>
      <c r="M50" s="208" t="s">
        <v>322</v>
      </c>
      <c r="N50" s="209"/>
      <c r="O50" s="210"/>
      <c r="P50" s="211">
        <f>E15</f>
        <v>0.047</v>
      </c>
      <c r="Q50" s="422">
        <f>kWh_per_liter_large_autoclave*Q26*E10</f>
        <v>0</v>
      </c>
      <c r="R50" s="211" t="s">
        <v>154</v>
      </c>
      <c r="S50" s="486">
        <f>P50*Q50</f>
        <v>0</v>
      </c>
    </row>
    <row r="51" spans="2:19" ht="12.75">
      <c r="B51" s="207">
        <v>3</v>
      </c>
      <c r="C51" s="208" t="s">
        <v>324</v>
      </c>
      <c r="D51" s="209"/>
      <c r="E51" s="210"/>
      <c r="F51" s="211">
        <f>Cost_water_sewage</f>
        <v>1.09</v>
      </c>
      <c r="G51" s="422">
        <f>(TRUNC(G26/100)+1)*water_use_125L_autoclave</f>
        <v>9</v>
      </c>
      <c r="H51" s="211" t="s">
        <v>245</v>
      </c>
      <c r="I51" s="212">
        <f>F51/1000*G51*E10</f>
        <v>3.5806500000000003</v>
      </c>
      <c r="J51" s="182"/>
      <c r="L51" s="207">
        <v>3</v>
      </c>
      <c r="M51" s="208" t="s">
        <v>324</v>
      </c>
      <c r="N51" s="209"/>
      <c r="O51" s="210"/>
      <c r="P51" s="211">
        <f>Cost_water_sewage</f>
        <v>1.09</v>
      </c>
      <c r="Q51" s="422">
        <f>(TRUNC(Q26/100)+1)*water_use_340L_autoclave</f>
        <v>3</v>
      </c>
      <c r="R51" s="211" t="s">
        <v>245</v>
      </c>
      <c r="S51" s="486">
        <f>P51/1000*Q51*E10</f>
        <v>1.19355</v>
      </c>
    </row>
    <row r="52" spans="2:19" ht="12.75">
      <c r="B52" s="207">
        <v>4</v>
      </c>
      <c r="C52" s="208" t="s">
        <v>445</v>
      </c>
      <c r="D52" s="209"/>
      <c r="E52" s="210"/>
      <c r="F52" s="211">
        <f>cost_per_autoclave_test_indicator</f>
        <v>0.187</v>
      </c>
      <c r="G52" s="422">
        <v>1</v>
      </c>
      <c r="H52" s="211" t="s">
        <v>446</v>
      </c>
      <c r="I52" s="212">
        <f>F52*G52*E10</f>
        <v>68.255</v>
      </c>
      <c r="J52" s="182"/>
      <c r="L52" s="207">
        <v>4</v>
      </c>
      <c r="M52" s="208" t="s">
        <v>445</v>
      </c>
      <c r="N52" s="209"/>
      <c r="O52" s="210"/>
      <c r="P52" s="211">
        <f>cost_per_autoclave_test_indicator</f>
        <v>0.187</v>
      </c>
      <c r="Q52" s="422">
        <v>1</v>
      </c>
      <c r="R52" s="211" t="s">
        <v>446</v>
      </c>
      <c r="S52" s="212">
        <f>P52*Q52*E10</f>
        <v>68.255</v>
      </c>
    </row>
    <row r="53" spans="2:19" ht="12.75">
      <c r="B53" s="207">
        <v>5</v>
      </c>
      <c r="C53" s="208" t="s">
        <v>156</v>
      </c>
      <c r="D53" s="209"/>
      <c r="E53" s="210"/>
      <c r="F53" s="211">
        <f>E12</f>
        <v>3</v>
      </c>
      <c r="G53" s="422">
        <f>E13*beds_per_large_A_HCF</f>
        <v>2.14</v>
      </c>
      <c r="H53" s="211"/>
      <c r="I53" s="212">
        <f>F53*G53*E10</f>
        <v>2343.3</v>
      </c>
      <c r="J53" s="182"/>
      <c r="L53" s="207">
        <v>5</v>
      </c>
      <c r="M53" s="208" t="s">
        <v>156</v>
      </c>
      <c r="N53" s="209"/>
      <c r="O53" s="210"/>
      <c r="P53" s="211">
        <f>E12</f>
        <v>3</v>
      </c>
      <c r="Q53" s="422">
        <f>E13*beds_per_large_B_HCF</f>
        <v>0</v>
      </c>
      <c r="R53" s="211"/>
      <c r="S53" s="486">
        <f>P53*Q53*E10</f>
        <v>0</v>
      </c>
    </row>
    <row r="54" spans="2:19" ht="12.75">
      <c r="B54" s="207">
        <v>6</v>
      </c>
      <c r="C54" s="208" t="s">
        <v>158</v>
      </c>
      <c r="D54" s="209"/>
      <c r="E54" s="210"/>
      <c r="F54" s="211">
        <f>E14</f>
        <v>24</v>
      </c>
      <c r="G54" s="422">
        <v>1</v>
      </c>
      <c r="H54" s="211" t="s">
        <v>160</v>
      </c>
      <c r="I54" s="212">
        <f>F54*G54*E10</f>
        <v>8760</v>
      </c>
      <c r="J54" s="182"/>
      <c r="L54" s="207">
        <v>6</v>
      </c>
      <c r="M54" s="208" t="s">
        <v>158</v>
      </c>
      <c r="N54" s="209"/>
      <c r="O54" s="210"/>
      <c r="P54" s="211">
        <f>E14</f>
        <v>24</v>
      </c>
      <c r="Q54" s="422">
        <v>1</v>
      </c>
      <c r="R54" s="211" t="s">
        <v>160</v>
      </c>
      <c r="S54" s="486">
        <f>P54*Q54*E10</f>
        <v>8760</v>
      </c>
    </row>
    <row r="55" spans="2:19" ht="12.75">
      <c r="B55" s="207">
        <v>7</v>
      </c>
      <c r="C55" s="208" t="s">
        <v>329</v>
      </c>
      <c r="D55" s="209"/>
      <c r="E55" s="210"/>
      <c r="F55" s="211"/>
      <c r="G55" s="422">
        <f>maintenance_frax_cap_cost*100</f>
        <v>5</v>
      </c>
      <c r="H55" s="211" t="s">
        <v>331</v>
      </c>
      <c r="I55" s="212">
        <f>I45*maintenance_frax_cap_cost</f>
        <v>250.04499505244772</v>
      </c>
      <c r="J55" s="182"/>
      <c r="L55" s="207">
        <v>7</v>
      </c>
      <c r="M55" s="208" t="s">
        <v>329</v>
      </c>
      <c r="N55" s="209"/>
      <c r="O55" s="210"/>
      <c r="P55" s="211"/>
      <c r="Q55" s="422">
        <f>maintenance_frax_cap_cost*100</f>
        <v>5</v>
      </c>
      <c r="R55" s="211" t="s">
        <v>331</v>
      </c>
      <c r="S55" s="486">
        <f>S45*maintenance_frax_cap_cost</f>
        <v>239.52877040732793</v>
      </c>
    </row>
    <row r="56" spans="2:19" ht="13.5" thickBot="1">
      <c r="B56" s="213">
        <v>8</v>
      </c>
      <c r="C56" s="214" t="s">
        <v>332</v>
      </c>
      <c r="D56" s="215"/>
      <c r="E56" s="216"/>
      <c r="F56" s="217">
        <f>E17</f>
        <v>24</v>
      </c>
      <c r="G56" s="423">
        <f>beds_per_large_A_HCF*E16</f>
        <v>42.800000000000004</v>
      </c>
      <c r="H56" s="217"/>
      <c r="I56" s="218">
        <f>F56*G56</f>
        <v>1027.2</v>
      </c>
      <c r="J56" s="182"/>
      <c r="L56" s="213">
        <v>8</v>
      </c>
      <c r="M56" s="214" t="s">
        <v>332</v>
      </c>
      <c r="N56" s="215"/>
      <c r="O56" s="216"/>
      <c r="P56" s="217">
        <f>E17</f>
        <v>24</v>
      </c>
      <c r="Q56" s="423">
        <f>beds_per_large_B_HCF*E16</f>
        <v>0</v>
      </c>
      <c r="R56" s="217"/>
      <c r="S56" s="487">
        <f>P56*Q56</f>
        <v>0</v>
      </c>
    </row>
    <row r="57" spans="2:19" s="33" customFormat="1" ht="15.75" thickTop="1">
      <c r="B57" s="31"/>
      <c r="C57" s="32" t="s">
        <v>165</v>
      </c>
      <c r="D57" s="32"/>
      <c r="E57" s="32"/>
      <c r="F57" s="32"/>
      <c r="G57" s="32"/>
      <c r="H57" s="32"/>
      <c r="I57" s="62">
        <f>SUM(I49:I56)</f>
        <v>14209.529578385782</v>
      </c>
      <c r="J57" s="46"/>
      <c r="L57" s="31"/>
      <c r="M57" s="32" t="s">
        <v>23</v>
      </c>
      <c r="N57" s="32"/>
      <c r="O57" s="32"/>
      <c r="P57" s="32"/>
      <c r="Q57" s="32"/>
      <c r="R57" s="32"/>
      <c r="S57" s="488">
        <f>SUM(S49:S56)</f>
        <v>9156.577320407327</v>
      </c>
    </row>
    <row r="58" spans="2:19" s="33" customFormat="1" ht="15.75" thickBot="1">
      <c r="B58" s="34"/>
      <c r="C58" s="35" t="s">
        <v>166</v>
      </c>
      <c r="D58" s="35"/>
      <c r="E58" s="35"/>
      <c r="F58" s="35"/>
      <c r="G58" s="35"/>
      <c r="H58" s="35"/>
      <c r="I58" s="67">
        <f>I57*number_large_A_HCFs</f>
        <v>113676.23662708625</v>
      </c>
      <c r="J58" s="46"/>
      <c r="L58" s="34"/>
      <c r="M58" s="35" t="s">
        <v>24</v>
      </c>
      <c r="N58" s="35"/>
      <c r="O58" s="35"/>
      <c r="P58" s="35"/>
      <c r="Q58" s="35"/>
      <c r="R58" s="35"/>
      <c r="S58" s="489">
        <f>S57*number_large_B_HCFs</f>
        <v>0</v>
      </c>
    </row>
    <row r="59" spans="2:19" s="42" customFormat="1" ht="15">
      <c r="B59" s="21"/>
      <c r="C59" s="21"/>
      <c r="D59" s="21"/>
      <c r="E59" s="21"/>
      <c r="F59" s="21"/>
      <c r="G59" s="21"/>
      <c r="H59" s="21"/>
      <c r="I59" s="68"/>
      <c r="J59" s="43"/>
      <c r="L59" s="21"/>
      <c r="M59" s="21"/>
      <c r="N59" s="21"/>
      <c r="O59" s="21"/>
      <c r="P59" s="21"/>
      <c r="Q59" s="21"/>
      <c r="R59" s="21"/>
      <c r="S59" s="41"/>
    </row>
    <row r="60" ht="13.5" thickBot="1">
      <c r="J60" s="182"/>
    </row>
    <row r="61" spans="2:19" s="24" customFormat="1" ht="15">
      <c r="B61" s="196" t="s">
        <v>208</v>
      </c>
      <c r="C61" s="197"/>
      <c r="D61" s="36"/>
      <c r="E61" s="36"/>
      <c r="F61" s="36"/>
      <c r="G61" s="36"/>
      <c r="H61" s="36"/>
      <c r="I61" s="69"/>
      <c r="J61" s="45"/>
      <c r="L61" s="196" t="s">
        <v>208</v>
      </c>
      <c r="M61" s="197"/>
      <c r="N61" s="36"/>
      <c r="O61" s="36"/>
      <c r="P61" s="36"/>
      <c r="Q61" s="36"/>
      <c r="R61" s="36"/>
      <c r="S61" s="37"/>
    </row>
    <row r="62" spans="2:19" ht="12.75">
      <c r="B62" s="116"/>
      <c r="C62" s="117"/>
      <c r="D62" s="117"/>
      <c r="E62" s="117"/>
      <c r="F62" s="117"/>
      <c r="G62" s="117"/>
      <c r="H62" s="117"/>
      <c r="I62" s="199"/>
      <c r="J62" s="182"/>
      <c r="L62" s="116"/>
      <c r="M62" s="117"/>
      <c r="N62" s="117"/>
      <c r="O62" s="117"/>
      <c r="P62" s="117"/>
      <c r="Q62" s="117"/>
      <c r="R62" s="117"/>
      <c r="S62" s="118"/>
    </row>
    <row r="63" spans="2:19" s="24" customFormat="1" ht="15">
      <c r="B63" s="235" t="s">
        <v>262</v>
      </c>
      <c r="C63" s="237"/>
      <c r="D63" s="237"/>
      <c r="E63" s="237"/>
      <c r="F63" s="237"/>
      <c r="G63" s="237"/>
      <c r="H63" s="237"/>
      <c r="I63" s="244"/>
      <c r="J63" s="45"/>
      <c r="L63" s="235" t="s">
        <v>262</v>
      </c>
      <c r="M63" s="237"/>
      <c r="N63" s="237"/>
      <c r="O63" s="237"/>
      <c r="P63" s="237"/>
      <c r="Q63" s="237"/>
      <c r="R63" s="237"/>
      <c r="S63" s="245"/>
    </row>
    <row r="64" spans="2:19" s="24" customFormat="1" ht="14.25">
      <c r="B64" s="252" t="s">
        <v>263</v>
      </c>
      <c r="C64" s="247" t="s">
        <v>306</v>
      </c>
      <c r="D64" s="248"/>
      <c r="E64" s="249"/>
      <c r="F64" s="250" t="s">
        <v>307</v>
      </c>
      <c r="G64" s="425" t="s">
        <v>308</v>
      </c>
      <c r="H64" s="425" t="s">
        <v>309</v>
      </c>
      <c r="I64" s="251" t="s">
        <v>310</v>
      </c>
      <c r="J64" s="45"/>
      <c r="L64" s="252" t="s">
        <v>263</v>
      </c>
      <c r="M64" s="247" t="s">
        <v>306</v>
      </c>
      <c r="N64" s="248"/>
      <c r="O64" s="249"/>
      <c r="P64" s="250" t="s">
        <v>307</v>
      </c>
      <c r="Q64" s="425" t="s">
        <v>308</v>
      </c>
      <c r="R64" s="425" t="s">
        <v>309</v>
      </c>
      <c r="S64" s="253" t="s">
        <v>310</v>
      </c>
    </row>
    <row r="65" spans="2:19" ht="12.75">
      <c r="B65" s="207">
        <v>1</v>
      </c>
      <c r="C65" s="208" t="s">
        <v>229</v>
      </c>
      <c r="D65" s="209"/>
      <c r="E65" s="210"/>
      <c r="F65" s="211">
        <f>cost_50L_bin</f>
        <v>20</v>
      </c>
      <c r="G65" s="424">
        <f>TRUNC(G26/50)+TRUNC(G26/ratio_inf_to_noninf/50)+2</f>
        <v>39</v>
      </c>
      <c r="H65" s="422">
        <f>life_50L_bin</f>
        <v>2</v>
      </c>
      <c r="I65" s="212">
        <f aca="true" t="shared" si="2" ref="I65:I71">((F65*discount_rate)/(1-(1/(1+discount_rate)^H65)))*G65</f>
        <v>407.63645320197037</v>
      </c>
      <c r="J65" s="182"/>
      <c r="L65" s="207">
        <v>1</v>
      </c>
      <c r="M65" s="208" t="s">
        <v>229</v>
      </c>
      <c r="N65" s="209"/>
      <c r="O65" s="210"/>
      <c r="P65" s="211">
        <f>cost_50L_bin</f>
        <v>20</v>
      </c>
      <c r="Q65" s="424">
        <f>TRUNC(Q26/50)+TRUNC(Q26/ratio_inf_to_noninf/50)+2</f>
        <v>2</v>
      </c>
      <c r="R65" s="422">
        <f>life_50L_bin</f>
        <v>2</v>
      </c>
      <c r="S65" s="486">
        <f aca="true" t="shared" si="3" ref="S65:S71">((P65*discount_rate)/(1-(1/(1+discount_rate)^R65)))*Q65</f>
        <v>20.904433497536942</v>
      </c>
    </row>
    <row r="66" spans="2:19" ht="12.75">
      <c r="B66" s="207">
        <v>2</v>
      </c>
      <c r="C66" s="208" t="s">
        <v>312</v>
      </c>
      <c r="D66" s="209"/>
      <c r="E66" s="210"/>
      <c r="F66" s="211">
        <f>cost_PPE</f>
        <v>35</v>
      </c>
      <c r="G66" s="422">
        <f>ROUND(E13*beds_per_large_A_HCF,0)</f>
        <v>2</v>
      </c>
      <c r="H66" s="422">
        <f>life_PPE</f>
        <v>2</v>
      </c>
      <c r="I66" s="212">
        <f t="shared" si="2"/>
        <v>36.58275862068965</v>
      </c>
      <c r="J66" s="182"/>
      <c r="L66" s="207">
        <v>2</v>
      </c>
      <c r="M66" s="208" t="s">
        <v>312</v>
      </c>
      <c r="N66" s="209"/>
      <c r="O66" s="210"/>
      <c r="P66" s="211">
        <f>cost_PPE</f>
        <v>35</v>
      </c>
      <c r="Q66" s="422">
        <f>ROUND(E13*beds_per_large_B_HCF,0)</f>
        <v>0</v>
      </c>
      <c r="R66" s="422">
        <f>life_PPE</f>
        <v>2</v>
      </c>
      <c r="S66" s="486">
        <f t="shared" si="3"/>
        <v>0</v>
      </c>
    </row>
    <row r="67" spans="2:19" ht="12.75">
      <c r="B67" s="207">
        <v>3</v>
      </c>
      <c r="C67" s="208" t="s">
        <v>231</v>
      </c>
      <c r="D67" s="209"/>
      <c r="E67" s="210"/>
      <c r="F67" s="211">
        <f>cost_240L_wheeled_bin</f>
        <v>45</v>
      </c>
      <c r="G67" s="422">
        <f>ROUND(E13*beds_per_large_A_HCF,0)</f>
        <v>2</v>
      </c>
      <c r="H67" s="422">
        <f>life_240L_wheeled_bin</f>
        <v>4</v>
      </c>
      <c r="I67" s="212">
        <f t="shared" si="2"/>
        <v>24.21243406737744</v>
      </c>
      <c r="J67" s="182"/>
      <c r="L67" s="207">
        <v>3</v>
      </c>
      <c r="M67" s="208" t="s">
        <v>231</v>
      </c>
      <c r="N67" s="209"/>
      <c r="O67" s="210"/>
      <c r="P67" s="211">
        <f>cost_240L_wheeled_bin</f>
        <v>45</v>
      </c>
      <c r="Q67" s="422">
        <f>ROUND(E13*beds_per_large_B_HCF,0)</f>
        <v>0</v>
      </c>
      <c r="R67" s="422">
        <f>life_240L_wheeled_bin</f>
        <v>4</v>
      </c>
      <c r="S67" s="486">
        <f t="shared" si="3"/>
        <v>0</v>
      </c>
    </row>
    <row r="68" spans="2:19" ht="12.75">
      <c r="B68" s="207">
        <v>4</v>
      </c>
      <c r="C68" s="208" t="s">
        <v>232</v>
      </c>
      <c r="D68" s="209"/>
      <c r="E68" s="210"/>
      <c r="F68" s="211">
        <f>cost_large_storage_area</f>
        <v>2000</v>
      </c>
      <c r="G68" s="422">
        <v>1</v>
      </c>
      <c r="H68" s="422">
        <f>life_large_storage_area</f>
        <v>10</v>
      </c>
      <c r="I68" s="212">
        <f t="shared" si="2"/>
        <v>234.46101321031924</v>
      </c>
      <c r="J68" s="182"/>
      <c r="L68" s="207">
        <v>4</v>
      </c>
      <c r="M68" s="208" t="s">
        <v>232</v>
      </c>
      <c r="N68" s="209"/>
      <c r="O68" s="210"/>
      <c r="P68" s="211">
        <f>cost_large_storage_area</f>
        <v>2000</v>
      </c>
      <c r="Q68" s="422">
        <v>1</v>
      </c>
      <c r="R68" s="422">
        <f>life_large_storage_area</f>
        <v>10</v>
      </c>
      <c r="S68" s="486">
        <f t="shared" si="3"/>
        <v>234.46101321031924</v>
      </c>
    </row>
    <row r="69" spans="2:19" ht="12.75">
      <c r="B69" s="207">
        <v>5</v>
      </c>
      <c r="C69" s="208" t="s">
        <v>167</v>
      </c>
      <c r="D69" s="209"/>
      <c r="E69" s="210"/>
      <c r="F69" s="211">
        <f>cost_incinerator_50kg_per_hr</f>
        <v>37500</v>
      </c>
      <c r="G69" s="422">
        <v>1</v>
      </c>
      <c r="H69" s="422">
        <f>life_incinerator_50kg_per_hr</f>
        <v>10</v>
      </c>
      <c r="I69" s="212">
        <f t="shared" si="2"/>
        <v>4396.143997693485</v>
      </c>
      <c r="J69" s="182"/>
      <c r="L69" s="207">
        <v>5</v>
      </c>
      <c r="M69" s="208" t="s">
        <v>167</v>
      </c>
      <c r="N69" s="209"/>
      <c r="O69" s="210"/>
      <c r="P69" s="211">
        <f>cost_incinerator_50kg_per_hr</f>
        <v>37500</v>
      </c>
      <c r="Q69" s="422">
        <v>1</v>
      </c>
      <c r="R69" s="422">
        <f>life_incinerator_50kg_per_hr</f>
        <v>10</v>
      </c>
      <c r="S69" s="486">
        <f t="shared" si="3"/>
        <v>4396.143997693485</v>
      </c>
    </row>
    <row r="70" spans="2:19" ht="12.75">
      <c r="B70" s="207">
        <v>6</v>
      </c>
      <c r="C70" s="208" t="s">
        <v>236</v>
      </c>
      <c r="D70" s="209"/>
      <c r="E70" s="210"/>
      <c r="F70" s="211">
        <f>cost_shelter_treatment_system</f>
        <v>2000</v>
      </c>
      <c r="G70" s="422">
        <v>1</v>
      </c>
      <c r="H70" s="422">
        <f>life_shelter_treatment_system</f>
        <v>10</v>
      </c>
      <c r="I70" s="212">
        <f t="shared" si="2"/>
        <v>234.46101321031924</v>
      </c>
      <c r="J70" s="182"/>
      <c r="L70" s="207">
        <v>6</v>
      </c>
      <c r="M70" s="208" t="s">
        <v>236</v>
      </c>
      <c r="N70" s="209"/>
      <c r="O70" s="210"/>
      <c r="P70" s="211">
        <f>cost_shelter_treatment_system</f>
        <v>2000</v>
      </c>
      <c r="Q70" s="422">
        <v>1</v>
      </c>
      <c r="R70" s="422">
        <f>life_shelter_treatment_system</f>
        <v>10</v>
      </c>
      <c r="S70" s="486">
        <f t="shared" si="3"/>
        <v>234.46101321031924</v>
      </c>
    </row>
    <row r="71" spans="2:19" ht="13.5" thickBot="1">
      <c r="B71" s="213">
        <v>7</v>
      </c>
      <c r="C71" s="214" t="s">
        <v>213</v>
      </c>
      <c r="D71" s="215"/>
      <c r="E71" s="216"/>
      <c r="F71" s="217">
        <f>cost_large_ash_pit</f>
        <v>250</v>
      </c>
      <c r="G71" s="423">
        <v>1</v>
      </c>
      <c r="H71" s="423">
        <f>life_large_ash_pit</f>
        <v>3</v>
      </c>
      <c r="I71" s="218">
        <f t="shared" si="2"/>
        <v>88.38259083114954</v>
      </c>
      <c r="J71" s="182"/>
      <c r="L71" s="213">
        <v>7</v>
      </c>
      <c r="M71" s="214" t="s">
        <v>213</v>
      </c>
      <c r="N71" s="215"/>
      <c r="O71" s="216"/>
      <c r="P71" s="217">
        <f>cost_large_ash_pit</f>
        <v>250</v>
      </c>
      <c r="Q71" s="423">
        <v>1</v>
      </c>
      <c r="R71" s="423">
        <f>life_large_ash_pit</f>
        <v>3</v>
      </c>
      <c r="S71" s="487">
        <f t="shared" si="3"/>
        <v>88.38259083114954</v>
      </c>
    </row>
    <row r="72" spans="2:19" s="33" customFormat="1" ht="15.75" thickTop="1">
      <c r="B72" s="31"/>
      <c r="C72" s="32" t="s">
        <v>163</v>
      </c>
      <c r="D72" s="32"/>
      <c r="E72" s="32"/>
      <c r="F72" s="32"/>
      <c r="G72" s="32"/>
      <c r="H72" s="32"/>
      <c r="I72" s="62">
        <f>SUM(I65:I71)</f>
        <v>5421.88026083531</v>
      </c>
      <c r="J72" s="46"/>
      <c r="L72" s="31"/>
      <c r="M72" s="32" t="s">
        <v>21</v>
      </c>
      <c r="N72" s="32"/>
      <c r="O72" s="32"/>
      <c r="P72" s="32"/>
      <c r="Q72" s="32"/>
      <c r="R72" s="32"/>
      <c r="S72" s="488">
        <f>SUM(S65:S71)</f>
        <v>4974.353048442809</v>
      </c>
    </row>
    <row r="73" spans="2:19" s="33" customFormat="1" ht="15">
      <c r="B73" s="31"/>
      <c r="C73" s="32" t="s">
        <v>164</v>
      </c>
      <c r="D73" s="32"/>
      <c r="E73" s="32"/>
      <c r="F73" s="32"/>
      <c r="G73" s="32"/>
      <c r="H73" s="32"/>
      <c r="I73" s="62">
        <f>I72*number_large_A_HCFs</f>
        <v>43375.04208668248</v>
      </c>
      <c r="J73" s="46"/>
      <c r="L73" s="31"/>
      <c r="M73" s="32" t="s">
        <v>22</v>
      </c>
      <c r="N73" s="32"/>
      <c r="O73" s="32"/>
      <c r="P73" s="32"/>
      <c r="Q73" s="32"/>
      <c r="R73" s="32"/>
      <c r="S73" s="488">
        <f>S72*number_large_B_HCFs</f>
        <v>0</v>
      </c>
    </row>
    <row r="74" spans="2:19" s="24" customFormat="1" ht="15">
      <c r="B74" s="254" t="s">
        <v>264</v>
      </c>
      <c r="C74" s="237"/>
      <c r="D74" s="237"/>
      <c r="E74" s="237"/>
      <c r="F74" s="237"/>
      <c r="G74" s="237"/>
      <c r="H74" s="237"/>
      <c r="I74" s="244"/>
      <c r="J74" s="45"/>
      <c r="L74" s="235" t="s">
        <v>264</v>
      </c>
      <c r="M74" s="237"/>
      <c r="N74" s="237"/>
      <c r="O74" s="237"/>
      <c r="P74" s="237"/>
      <c r="Q74" s="237"/>
      <c r="R74" s="237"/>
      <c r="S74" s="245"/>
    </row>
    <row r="75" spans="2:19" s="24" customFormat="1" ht="14.25">
      <c r="B75" s="252" t="s">
        <v>263</v>
      </c>
      <c r="C75" s="247" t="s">
        <v>306</v>
      </c>
      <c r="D75" s="248"/>
      <c r="E75" s="249"/>
      <c r="F75" s="250" t="s">
        <v>307</v>
      </c>
      <c r="G75" s="425" t="s">
        <v>308</v>
      </c>
      <c r="H75" s="250" t="s">
        <v>168</v>
      </c>
      <c r="I75" s="251" t="s">
        <v>310</v>
      </c>
      <c r="J75" s="45"/>
      <c r="L75" s="252" t="s">
        <v>263</v>
      </c>
      <c r="M75" s="247" t="s">
        <v>306</v>
      </c>
      <c r="N75" s="248"/>
      <c r="O75" s="249"/>
      <c r="P75" s="250" t="s">
        <v>307</v>
      </c>
      <c r="Q75" s="425" t="s">
        <v>308</v>
      </c>
      <c r="R75" s="250" t="s">
        <v>168</v>
      </c>
      <c r="S75" s="253" t="s">
        <v>310</v>
      </c>
    </row>
    <row r="76" spans="2:19" ht="12.75">
      <c r="B76" s="207">
        <v>1</v>
      </c>
      <c r="C76" s="208" t="s">
        <v>317</v>
      </c>
      <c r="D76" s="209"/>
      <c r="E76" s="210"/>
      <c r="F76" s="211">
        <f>cost_safety_box</f>
        <v>0.5</v>
      </c>
      <c r="G76" s="422">
        <f>G27/weight_syringe/capacity_safety_box*E10</f>
        <v>781.1</v>
      </c>
      <c r="H76" s="211"/>
      <c r="I76" s="212">
        <f>F76*G76</f>
        <v>390.55</v>
      </c>
      <c r="J76" s="182"/>
      <c r="L76" s="207">
        <v>1</v>
      </c>
      <c r="M76" s="208" t="s">
        <v>317</v>
      </c>
      <c r="N76" s="209"/>
      <c r="O76" s="210"/>
      <c r="P76" s="211">
        <f>cost_safety_box</f>
        <v>0.5</v>
      </c>
      <c r="Q76" s="422">
        <f>Q27/weight_syringe/capacity_safety_box*E10</f>
        <v>0</v>
      </c>
      <c r="R76" s="211"/>
      <c r="S76" s="486">
        <f>P76*Q76</f>
        <v>0</v>
      </c>
    </row>
    <row r="77" spans="2:19" ht="12.75">
      <c r="B77" s="207">
        <v>2</v>
      </c>
      <c r="C77" s="208" t="s">
        <v>270</v>
      </c>
      <c r="D77" s="209"/>
      <c r="E77" s="210"/>
      <c r="F77" s="211">
        <f>cost_50L_plastic_bag</f>
        <v>0.12</v>
      </c>
      <c r="G77" s="422">
        <f>(TRUNC(G26/50)+TRUNC(G26/ratio_inf_to_noninf/50)+2)*E10</f>
        <v>14235</v>
      </c>
      <c r="H77" s="211"/>
      <c r="I77" s="212">
        <f>F77*G77</f>
        <v>1708.2</v>
      </c>
      <c r="J77" s="182"/>
      <c r="L77" s="207">
        <v>2</v>
      </c>
      <c r="M77" s="208" t="s">
        <v>270</v>
      </c>
      <c r="N77" s="209"/>
      <c r="O77" s="210"/>
      <c r="P77" s="211">
        <f>cost_50L_plastic_bag</f>
        <v>0.12</v>
      </c>
      <c r="Q77" s="422">
        <f>(TRUNC(Q26/50)+TRUNC(Q26/ratio_inf_to_noninf/50)+2)*E10</f>
        <v>730</v>
      </c>
      <c r="R77" s="211"/>
      <c r="S77" s="486">
        <f>P77*Q77</f>
        <v>87.6</v>
      </c>
    </row>
    <row r="78" spans="2:19" ht="12.75">
      <c r="B78" s="207">
        <v>3</v>
      </c>
      <c r="C78" s="208" t="s">
        <v>210</v>
      </c>
      <c r="D78" s="209"/>
      <c r="E78" s="210"/>
      <c r="F78" s="211">
        <f>cost_fuel_1Ldiesel</f>
        <v>0.8</v>
      </c>
      <c r="G78" s="422">
        <f>TRUNC(G25*7/150)+1</f>
        <v>2</v>
      </c>
      <c r="H78" s="211" t="s">
        <v>174</v>
      </c>
      <c r="I78" s="212">
        <f>F78*1.5*G78*52</f>
        <v>124.80000000000001</v>
      </c>
      <c r="J78" s="182"/>
      <c r="L78" s="207">
        <v>3</v>
      </c>
      <c r="M78" s="208" t="s">
        <v>210</v>
      </c>
      <c r="N78" s="209"/>
      <c r="O78" s="210"/>
      <c r="P78" s="211">
        <f>cost_fuel_1Ldiesel</f>
        <v>0.8</v>
      </c>
      <c r="Q78" s="422">
        <f>TRUNC(Q25*7/150)+1</f>
        <v>1</v>
      </c>
      <c r="R78" s="211" t="s">
        <v>174</v>
      </c>
      <c r="S78" s="486">
        <f>P78*1.5*Q78*52</f>
        <v>62.400000000000006</v>
      </c>
    </row>
    <row r="79" spans="2:19" ht="12.75">
      <c r="B79" s="207">
        <v>4</v>
      </c>
      <c r="C79" s="208" t="s">
        <v>156</v>
      </c>
      <c r="D79" s="209"/>
      <c r="E79" s="210"/>
      <c r="F79" s="211">
        <f>E12</f>
        <v>3</v>
      </c>
      <c r="G79" s="422">
        <f>E13*beds_per_large_A_HCF</f>
        <v>2.14</v>
      </c>
      <c r="H79" s="211"/>
      <c r="I79" s="212">
        <f>F79*G79*E10</f>
        <v>2343.3</v>
      </c>
      <c r="J79" s="182"/>
      <c r="L79" s="207">
        <v>4</v>
      </c>
      <c r="M79" s="208" t="s">
        <v>156</v>
      </c>
      <c r="N79" s="209"/>
      <c r="O79" s="210"/>
      <c r="P79" s="211">
        <f>E12</f>
        <v>3</v>
      </c>
      <c r="Q79" s="422">
        <f>E13*beds_per_large_B_HCF</f>
        <v>0</v>
      </c>
      <c r="R79" s="211"/>
      <c r="S79" s="486">
        <f>P79*Q79*E10</f>
        <v>0</v>
      </c>
    </row>
    <row r="80" spans="2:19" ht="12.75">
      <c r="B80" s="207">
        <v>5</v>
      </c>
      <c r="C80" s="208" t="s">
        <v>158</v>
      </c>
      <c r="D80" s="209"/>
      <c r="E80" s="210"/>
      <c r="F80" s="211">
        <f>E14</f>
        <v>24</v>
      </c>
      <c r="G80" s="422">
        <v>1</v>
      </c>
      <c r="H80" s="211" t="s">
        <v>160</v>
      </c>
      <c r="I80" s="212">
        <f>F80*G80*E10</f>
        <v>8760</v>
      </c>
      <c r="J80" s="182"/>
      <c r="L80" s="207">
        <v>5</v>
      </c>
      <c r="M80" s="208" t="s">
        <v>158</v>
      </c>
      <c r="N80" s="209"/>
      <c r="O80" s="210"/>
      <c r="P80" s="211">
        <f>E14</f>
        <v>24</v>
      </c>
      <c r="Q80" s="422">
        <v>1</v>
      </c>
      <c r="R80" s="211" t="s">
        <v>160</v>
      </c>
      <c r="S80" s="486">
        <f>P80*Q80*E10</f>
        <v>8760</v>
      </c>
    </row>
    <row r="81" spans="2:19" ht="12.75">
      <c r="B81" s="207">
        <v>6</v>
      </c>
      <c r="C81" s="208" t="s">
        <v>329</v>
      </c>
      <c r="D81" s="209"/>
      <c r="E81" s="210"/>
      <c r="F81" s="211"/>
      <c r="G81" s="422">
        <f>maintenance_frax_cap_cost*100</f>
        <v>5</v>
      </c>
      <c r="H81" s="211" t="s">
        <v>331</v>
      </c>
      <c r="I81" s="212">
        <f>I72*maintenance_frax_cap_cost</f>
        <v>271.0940130417655</v>
      </c>
      <c r="J81" s="182"/>
      <c r="L81" s="207">
        <v>6</v>
      </c>
      <c r="M81" s="208" t="s">
        <v>329</v>
      </c>
      <c r="N81" s="209"/>
      <c r="O81" s="210"/>
      <c r="P81" s="211"/>
      <c r="Q81" s="422">
        <f>maintenance_frax_cap_cost*100</f>
        <v>5</v>
      </c>
      <c r="R81" s="211" t="s">
        <v>331</v>
      </c>
      <c r="S81" s="486">
        <f>S72*maintenance_frax_cap_cost</f>
        <v>248.71765242214047</v>
      </c>
    </row>
    <row r="82" spans="2:19" ht="13.5" thickBot="1">
      <c r="B82" s="213">
        <v>7</v>
      </c>
      <c r="C82" s="214" t="s">
        <v>332</v>
      </c>
      <c r="D82" s="215"/>
      <c r="E82" s="216"/>
      <c r="F82" s="217">
        <f>E17</f>
        <v>24</v>
      </c>
      <c r="G82" s="423">
        <f>beds_per_large_A_HCF*E16</f>
        <v>42.800000000000004</v>
      </c>
      <c r="H82" s="217"/>
      <c r="I82" s="218">
        <f>F82*G82</f>
        <v>1027.2</v>
      </c>
      <c r="J82" s="182"/>
      <c r="L82" s="213">
        <v>7</v>
      </c>
      <c r="M82" s="214" t="s">
        <v>332</v>
      </c>
      <c r="N82" s="215"/>
      <c r="O82" s="216"/>
      <c r="P82" s="217">
        <f>E17</f>
        <v>24</v>
      </c>
      <c r="Q82" s="423">
        <f>beds_per_large_B_HCF*E16</f>
        <v>0</v>
      </c>
      <c r="R82" s="217"/>
      <c r="S82" s="487">
        <f>P82*Q82</f>
        <v>0</v>
      </c>
    </row>
    <row r="83" spans="2:19" s="24" customFormat="1" ht="15.75" thickTop="1">
      <c r="B83" s="31"/>
      <c r="C83" s="32" t="s">
        <v>165</v>
      </c>
      <c r="D83" s="32"/>
      <c r="E83" s="32"/>
      <c r="F83" s="32"/>
      <c r="G83" s="32"/>
      <c r="H83" s="32"/>
      <c r="I83" s="62">
        <f>SUM(I76:I82)</f>
        <v>14625.144013041767</v>
      </c>
      <c r="J83" s="45"/>
      <c r="L83" s="31"/>
      <c r="M83" s="32" t="s">
        <v>23</v>
      </c>
      <c r="N83" s="32"/>
      <c r="O83" s="32"/>
      <c r="P83" s="32"/>
      <c r="Q83" s="32"/>
      <c r="R83" s="32"/>
      <c r="S83" s="488">
        <f>SUM(S76:S82)</f>
        <v>9158.717652422141</v>
      </c>
    </row>
    <row r="84" spans="2:19" s="24" customFormat="1" ht="15.75" thickBot="1">
      <c r="B84" s="34"/>
      <c r="C84" s="35" t="s">
        <v>166</v>
      </c>
      <c r="D84" s="35"/>
      <c r="E84" s="35"/>
      <c r="F84" s="35"/>
      <c r="G84" s="35"/>
      <c r="H84" s="35"/>
      <c r="I84" s="67">
        <f>I83*number_large_A_HCFs</f>
        <v>117001.15210433413</v>
      </c>
      <c r="J84" s="45"/>
      <c r="L84" s="34"/>
      <c r="M84" s="35" t="s">
        <v>24</v>
      </c>
      <c r="N84" s="35"/>
      <c r="O84" s="35"/>
      <c r="P84" s="35"/>
      <c r="Q84" s="35"/>
      <c r="R84" s="35"/>
      <c r="S84" s="489">
        <f>S83*number_large_B_HCFs</f>
        <v>0</v>
      </c>
    </row>
    <row r="85" spans="2:19" s="40" customFormat="1" ht="15">
      <c r="B85" s="21"/>
      <c r="C85" s="21"/>
      <c r="D85" s="21"/>
      <c r="E85" s="21"/>
      <c r="F85" s="21"/>
      <c r="G85" s="21"/>
      <c r="H85" s="21"/>
      <c r="I85" s="68"/>
      <c r="J85" s="44"/>
      <c r="L85" s="21"/>
      <c r="M85" s="21"/>
      <c r="N85" s="21"/>
      <c r="O85" s="21"/>
      <c r="P85" s="21"/>
      <c r="Q85" s="21"/>
      <c r="R85" s="21"/>
      <c r="S85" s="41"/>
    </row>
    <row r="86" ht="13.5" thickBot="1">
      <c r="J86" s="182"/>
    </row>
    <row r="87" spans="2:19" s="24" customFormat="1" ht="15">
      <c r="B87" s="196" t="s">
        <v>218</v>
      </c>
      <c r="C87" s="197"/>
      <c r="D87" s="36"/>
      <c r="E87" s="36"/>
      <c r="F87" s="36"/>
      <c r="G87" s="36"/>
      <c r="H87" s="36"/>
      <c r="I87" s="69"/>
      <c r="J87" s="45"/>
      <c r="L87" s="196" t="s">
        <v>218</v>
      </c>
      <c r="M87" s="197"/>
      <c r="N87" s="36"/>
      <c r="O87" s="36"/>
      <c r="P87" s="36"/>
      <c r="Q87" s="36"/>
      <c r="R87" s="36"/>
      <c r="S87" s="37"/>
    </row>
    <row r="88" spans="2:19" ht="12.75">
      <c r="B88" s="116"/>
      <c r="C88" s="117"/>
      <c r="D88" s="117"/>
      <c r="E88" s="117"/>
      <c r="F88" s="117"/>
      <c r="G88" s="117"/>
      <c r="H88" s="117"/>
      <c r="I88" s="199"/>
      <c r="J88" s="182"/>
      <c r="L88" s="116"/>
      <c r="M88" s="117"/>
      <c r="N88" s="117"/>
      <c r="O88" s="117"/>
      <c r="P88" s="117"/>
      <c r="Q88" s="117"/>
      <c r="R88" s="117"/>
      <c r="S88" s="118"/>
    </row>
    <row r="89" spans="2:19" s="24" customFormat="1" ht="15">
      <c r="B89" s="235" t="s">
        <v>262</v>
      </c>
      <c r="C89" s="237"/>
      <c r="D89" s="237"/>
      <c r="E89" s="237"/>
      <c r="F89" s="237"/>
      <c r="G89" s="237"/>
      <c r="H89" s="237"/>
      <c r="I89" s="244"/>
      <c r="J89" s="45"/>
      <c r="L89" s="235" t="s">
        <v>262</v>
      </c>
      <c r="M89" s="237"/>
      <c r="N89" s="237"/>
      <c r="O89" s="237"/>
      <c r="P89" s="237"/>
      <c r="Q89" s="237"/>
      <c r="R89" s="237"/>
      <c r="S89" s="245"/>
    </row>
    <row r="90" spans="2:19" s="24" customFormat="1" ht="14.25">
      <c r="B90" s="252" t="s">
        <v>263</v>
      </c>
      <c r="C90" s="247" t="s">
        <v>306</v>
      </c>
      <c r="D90" s="248"/>
      <c r="E90" s="249"/>
      <c r="F90" s="250" t="s">
        <v>307</v>
      </c>
      <c r="G90" s="425" t="s">
        <v>308</v>
      </c>
      <c r="H90" s="425" t="s">
        <v>309</v>
      </c>
      <c r="I90" s="251" t="s">
        <v>310</v>
      </c>
      <c r="J90" s="45"/>
      <c r="L90" s="252" t="s">
        <v>263</v>
      </c>
      <c r="M90" s="248" t="s">
        <v>306</v>
      </c>
      <c r="N90" s="248"/>
      <c r="O90" s="248"/>
      <c r="P90" s="250" t="s">
        <v>307</v>
      </c>
      <c r="Q90" s="425" t="s">
        <v>308</v>
      </c>
      <c r="R90" s="425" t="s">
        <v>309</v>
      </c>
      <c r="S90" s="253" t="s">
        <v>310</v>
      </c>
    </row>
    <row r="91" spans="2:19" ht="12.75">
      <c r="B91" s="207">
        <v>1</v>
      </c>
      <c r="C91" s="208" t="s">
        <v>229</v>
      </c>
      <c r="D91" s="209"/>
      <c r="E91" s="210"/>
      <c r="F91" s="211">
        <f>cost_50L_bin</f>
        <v>20</v>
      </c>
      <c r="G91" s="422">
        <f>TRUNC(G26/50)+TRUNC(G26/ratio_inf_to_noninf/50)+2</f>
        <v>39</v>
      </c>
      <c r="H91" s="422">
        <f>life_50L_bin</f>
        <v>2</v>
      </c>
      <c r="I91" s="212">
        <f aca="true" t="shared" si="4" ref="I91:I99">((F91*discount_rate)/(1-(1/(1+discount_rate)^H91)))*G91</f>
        <v>407.63645320197037</v>
      </c>
      <c r="J91" s="182"/>
      <c r="L91" s="207">
        <v>1</v>
      </c>
      <c r="M91" s="208" t="s">
        <v>229</v>
      </c>
      <c r="N91" s="209"/>
      <c r="O91" s="210"/>
      <c r="P91" s="211">
        <f>cost_50L_bin</f>
        <v>20</v>
      </c>
      <c r="Q91" s="422">
        <f>TRUNC(Q26/50)+TRUNC(Q26/ratio_inf_to_noninf/50)+2</f>
        <v>2</v>
      </c>
      <c r="R91" s="422">
        <f>life_50L_bin</f>
        <v>2</v>
      </c>
      <c r="S91" s="486">
        <f aca="true" t="shared" si="5" ref="S91:S99">((P91*discount_rate)/(1-(1/(1+discount_rate)^R91)))*Q91</f>
        <v>20.904433497536942</v>
      </c>
    </row>
    <row r="92" spans="2:19" ht="12.75">
      <c r="B92" s="207">
        <v>2</v>
      </c>
      <c r="C92" s="208" t="s">
        <v>312</v>
      </c>
      <c r="D92" s="209"/>
      <c r="E92" s="210"/>
      <c r="F92" s="211">
        <f>cost_PPE</f>
        <v>35</v>
      </c>
      <c r="G92" s="422">
        <f>ROUND(E13*beds_per_large_A_HCF,0)</f>
        <v>2</v>
      </c>
      <c r="H92" s="422">
        <f>life_PPE</f>
        <v>2</v>
      </c>
      <c r="I92" s="212">
        <f t="shared" si="4"/>
        <v>36.58275862068965</v>
      </c>
      <c r="J92" s="182"/>
      <c r="L92" s="207">
        <v>2</v>
      </c>
      <c r="M92" s="208" t="s">
        <v>312</v>
      </c>
      <c r="N92" s="209"/>
      <c r="O92" s="210"/>
      <c r="P92" s="211">
        <f>cost_PPE</f>
        <v>35</v>
      </c>
      <c r="Q92" s="422">
        <f>ROUND(E13*beds_per_large_B_HCF,0)</f>
        <v>0</v>
      </c>
      <c r="R92" s="422">
        <f>life_PPE</f>
        <v>2</v>
      </c>
      <c r="S92" s="486">
        <f t="shared" si="5"/>
        <v>0</v>
      </c>
    </row>
    <row r="93" spans="2:19" ht="12.75">
      <c r="B93" s="207">
        <v>3</v>
      </c>
      <c r="C93" s="208" t="s">
        <v>300</v>
      </c>
      <c r="D93" s="209"/>
      <c r="E93" s="210"/>
      <c r="F93" s="211">
        <f>cost_needle_remover</f>
        <v>30</v>
      </c>
      <c r="G93" s="422">
        <f>ROUND(beds_per_large_A_HCF/E18,0)</f>
        <v>21</v>
      </c>
      <c r="H93" s="422">
        <f>life_needle_remover</f>
        <v>4</v>
      </c>
      <c r="I93" s="212">
        <f t="shared" si="4"/>
        <v>169.48703847164205</v>
      </c>
      <c r="J93" s="182"/>
      <c r="L93" s="207">
        <v>3</v>
      </c>
      <c r="M93" s="208" t="s">
        <v>300</v>
      </c>
      <c r="N93" s="209"/>
      <c r="O93" s="210"/>
      <c r="P93" s="211">
        <f>cost_needle_remover</f>
        <v>30</v>
      </c>
      <c r="Q93" s="422">
        <f>ROUND(beds_per_large_B_HCF/E18,0)</f>
        <v>0</v>
      </c>
      <c r="R93" s="422">
        <f>life_needle_remover</f>
        <v>4</v>
      </c>
      <c r="S93" s="486">
        <f t="shared" si="5"/>
        <v>0</v>
      </c>
    </row>
    <row r="94" spans="2:19" ht="12.75">
      <c r="B94" s="207">
        <v>4</v>
      </c>
      <c r="C94" s="208" t="s">
        <v>231</v>
      </c>
      <c r="D94" s="209"/>
      <c r="E94" s="210"/>
      <c r="F94" s="211">
        <f>cost_240L_wheeled_bin</f>
        <v>45</v>
      </c>
      <c r="G94" s="422">
        <f>ROUND(E13*beds_per_large_A_HCF,0)</f>
        <v>2</v>
      </c>
      <c r="H94" s="422">
        <f>life_240L_wheeled_bin</f>
        <v>4</v>
      </c>
      <c r="I94" s="212">
        <f t="shared" si="4"/>
        <v>24.21243406737744</v>
      </c>
      <c r="J94" s="182"/>
      <c r="L94" s="207">
        <v>4</v>
      </c>
      <c r="M94" s="208" t="s">
        <v>231</v>
      </c>
      <c r="N94" s="209"/>
      <c r="O94" s="210"/>
      <c r="P94" s="211">
        <f>cost_240L_wheeled_bin</f>
        <v>45</v>
      </c>
      <c r="Q94" s="422">
        <f>ROUND(E13*beds_per_large_B_HCF,0)</f>
        <v>0</v>
      </c>
      <c r="R94" s="422">
        <f>life_240L_wheeled_bin</f>
        <v>4</v>
      </c>
      <c r="S94" s="486">
        <f t="shared" si="5"/>
        <v>0</v>
      </c>
    </row>
    <row r="95" spans="2:19" ht="12.75">
      <c r="B95" s="207">
        <v>5</v>
      </c>
      <c r="C95" s="208" t="s">
        <v>232</v>
      </c>
      <c r="D95" s="209"/>
      <c r="E95" s="210"/>
      <c r="F95" s="211">
        <f>cost_large_storage_area</f>
        <v>2000</v>
      </c>
      <c r="G95" s="422">
        <v>1</v>
      </c>
      <c r="H95" s="422">
        <f>life_large_storage_area</f>
        <v>10</v>
      </c>
      <c r="I95" s="212">
        <f t="shared" si="4"/>
        <v>234.46101321031924</v>
      </c>
      <c r="J95" s="182"/>
      <c r="L95" s="207">
        <v>5</v>
      </c>
      <c r="M95" s="208" t="s">
        <v>232</v>
      </c>
      <c r="N95" s="209"/>
      <c r="O95" s="210"/>
      <c r="P95" s="211">
        <f>cost_large_storage_area</f>
        <v>2000</v>
      </c>
      <c r="Q95" s="422">
        <v>1</v>
      </c>
      <c r="R95" s="422">
        <f>life_large_storage_area</f>
        <v>10</v>
      </c>
      <c r="S95" s="486">
        <f t="shared" si="5"/>
        <v>234.46101321031924</v>
      </c>
    </row>
    <row r="96" spans="2:19" ht="12.75">
      <c r="B96" s="207">
        <v>6</v>
      </c>
      <c r="C96" s="208" t="s">
        <v>151</v>
      </c>
      <c r="D96" s="209"/>
      <c r="E96" s="210"/>
      <c r="F96" s="211">
        <f>cost_125L_autoclave</f>
        <v>31200</v>
      </c>
      <c r="G96" s="422">
        <v>1</v>
      </c>
      <c r="H96" s="422">
        <f>life_125L_autoclave</f>
        <v>10</v>
      </c>
      <c r="I96" s="212">
        <f t="shared" si="4"/>
        <v>3657.59180608098</v>
      </c>
      <c r="J96" s="182"/>
      <c r="L96" s="207">
        <v>6</v>
      </c>
      <c r="M96" s="208" t="s">
        <v>172</v>
      </c>
      <c r="N96" s="209"/>
      <c r="O96" s="210"/>
      <c r="P96" s="211">
        <f>cost_340L_autoclave</f>
        <v>36500</v>
      </c>
      <c r="Q96" s="422">
        <v>1</v>
      </c>
      <c r="R96" s="422">
        <f>life_340L_autoclave</f>
        <v>10</v>
      </c>
      <c r="S96" s="486">
        <f t="shared" si="5"/>
        <v>4278.913491088326</v>
      </c>
    </row>
    <row r="97" spans="2:19" ht="12.75">
      <c r="B97" s="207">
        <v>7</v>
      </c>
      <c r="C97" s="208" t="s">
        <v>236</v>
      </c>
      <c r="D97" s="209"/>
      <c r="E97" s="210"/>
      <c r="F97" s="211">
        <f>cost_shelter_treatment_system</f>
        <v>2000</v>
      </c>
      <c r="G97" s="422">
        <v>1</v>
      </c>
      <c r="H97" s="422">
        <f>life_shelter_treatment_system</f>
        <v>10</v>
      </c>
      <c r="I97" s="212">
        <f t="shared" si="4"/>
        <v>234.46101321031924</v>
      </c>
      <c r="J97" s="182"/>
      <c r="L97" s="207">
        <v>7</v>
      </c>
      <c r="M97" s="208" t="s">
        <v>236</v>
      </c>
      <c r="N97" s="209"/>
      <c r="O97" s="210"/>
      <c r="P97" s="211">
        <f>cost_shelter_treatment_system</f>
        <v>2000</v>
      </c>
      <c r="Q97" s="422">
        <v>1</v>
      </c>
      <c r="R97" s="422">
        <f>life_shelter_treatment_system</f>
        <v>10</v>
      </c>
      <c r="S97" s="486">
        <f t="shared" si="5"/>
        <v>234.46101321031924</v>
      </c>
    </row>
    <row r="98" spans="2:19" ht="12.75">
      <c r="B98" s="207">
        <v>8</v>
      </c>
      <c r="C98" s="208" t="s">
        <v>152</v>
      </c>
      <c r="D98" s="209"/>
      <c r="E98" s="210"/>
      <c r="F98" s="211">
        <f>cost_reusable_sharps_container</f>
        <v>35</v>
      </c>
      <c r="G98" s="422">
        <f>ROUND(E19*beds_per_large_A_HCF,0)</f>
        <v>21</v>
      </c>
      <c r="H98" s="422">
        <f>life_reusable_sharps_container</f>
        <v>2</v>
      </c>
      <c r="I98" s="212">
        <f t="shared" si="4"/>
        <v>384.11896551724135</v>
      </c>
      <c r="J98" s="182"/>
      <c r="L98" s="207">
        <v>8</v>
      </c>
      <c r="M98" s="208" t="s">
        <v>152</v>
      </c>
      <c r="N98" s="209"/>
      <c r="O98" s="210"/>
      <c r="P98" s="211">
        <f>cost_reusable_sharps_container</f>
        <v>35</v>
      </c>
      <c r="Q98" s="422">
        <f>ROUND(E19*beds_per_large_B_HCF,0)</f>
        <v>0</v>
      </c>
      <c r="R98" s="422">
        <f>life_reusable_sharps_container</f>
        <v>2</v>
      </c>
      <c r="S98" s="486">
        <f t="shared" si="5"/>
        <v>0</v>
      </c>
    </row>
    <row r="99" spans="2:19" ht="13.5" thickBot="1">
      <c r="B99" s="213">
        <v>9</v>
      </c>
      <c r="C99" s="217" t="s">
        <v>219</v>
      </c>
      <c r="D99" s="215"/>
      <c r="E99" s="216"/>
      <c r="F99" s="217">
        <f>cost_small_pit</f>
        <v>25</v>
      </c>
      <c r="G99" s="423">
        <v>1</v>
      </c>
      <c r="H99" s="423">
        <f>life_small_pit</f>
        <v>2</v>
      </c>
      <c r="I99" s="218">
        <f t="shared" si="4"/>
        <v>13.065270935960589</v>
      </c>
      <c r="J99" s="182"/>
      <c r="L99" s="213">
        <v>9</v>
      </c>
      <c r="M99" s="217" t="s">
        <v>219</v>
      </c>
      <c r="N99" s="215"/>
      <c r="O99" s="216"/>
      <c r="P99" s="217">
        <f>cost_small_pit</f>
        <v>25</v>
      </c>
      <c r="Q99" s="423">
        <v>1</v>
      </c>
      <c r="R99" s="423">
        <f>life_small_pit</f>
        <v>2</v>
      </c>
      <c r="S99" s="487">
        <f t="shared" si="5"/>
        <v>13.065270935960589</v>
      </c>
    </row>
    <row r="100" spans="2:19" s="24" customFormat="1" ht="15.75" thickTop="1">
      <c r="B100" s="31"/>
      <c r="C100" s="32" t="s">
        <v>163</v>
      </c>
      <c r="D100" s="32"/>
      <c r="E100" s="32"/>
      <c r="F100" s="32"/>
      <c r="G100" s="32"/>
      <c r="H100" s="32"/>
      <c r="I100" s="62">
        <f>SUM(I91:I99)</f>
        <v>5161.616753316499</v>
      </c>
      <c r="J100" s="45"/>
      <c r="L100" s="31"/>
      <c r="M100" s="32" t="s">
        <v>21</v>
      </c>
      <c r="N100" s="32"/>
      <c r="O100" s="32"/>
      <c r="P100" s="32"/>
      <c r="Q100" s="32"/>
      <c r="R100" s="32"/>
      <c r="S100" s="488">
        <f>SUM(S91:S99)</f>
        <v>4781.805221942461</v>
      </c>
    </row>
    <row r="101" spans="2:19" s="24" customFormat="1" ht="15.75" thickBot="1">
      <c r="B101" s="34"/>
      <c r="C101" s="35" t="s">
        <v>164</v>
      </c>
      <c r="D101" s="35"/>
      <c r="E101" s="35"/>
      <c r="F101" s="35"/>
      <c r="G101" s="35"/>
      <c r="H101" s="35"/>
      <c r="I101" s="67">
        <f>I100*number_large_A_HCFs</f>
        <v>41292.93402653199</v>
      </c>
      <c r="J101" s="45"/>
      <c r="L101" s="34"/>
      <c r="M101" s="35" t="s">
        <v>22</v>
      </c>
      <c r="N101" s="35"/>
      <c r="O101" s="35"/>
      <c r="P101" s="35"/>
      <c r="Q101" s="35"/>
      <c r="R101" s="35"/>
      <c r="S101" s="489">
        <f>S100*number_large_B_HCFs</f>
        <v>0</v>
      </c>
    </row>
    <row r="102" spans="2:19" s="24" customFormat="1" ht="15">
      <c r="B102" s="235" t="s">
        <v>264</v>
      </c>
      <c r="C102" s="237"/>
      <c r="D102" s="237"/>
      <c r="E102" s="237"/>
      <c r="F102" s="237"/>
      <c r="G102" s="237"/>
      <c r="H102" s="237"/>
      <c r="I102" s="244"/>
      <c r="J102" s="45"/>
      <c r="L102" s="235" t="s">
        <v>264</v>
      </c>
      <c r="M102" s="237"/>
      <c r="N102" s="237"/>
      <c r="O102" s="237"/>
      <c r="P102" s="237"/>
      <c r="Q102" s="237"/>
      <c r="R102" s="237"/>
      <c r="S102" s="245"/>
    </row>
    <row r="103" spans="2:19" s="24" customFormat="1" ht="14.25">
      <c r="B103" s="252" t="s">
        <v>263</v>
      </c>
      <c r="C103" s="247" t="s">
        <v>306</v>
      </c>
      <c r="D103" s="248"/>
      <c r="E103" s="249"/>
      <c r="F103" s="250" t="s">
        <v>307</v>
      </c>
      <c r="G103" s="425" t="s">
        <v>308</v>
      </c>
      <c r="H103" s="250" t="s">
        <v>168</v>
      </c>
      <c r="I103" s="251" t="s">
        <v>310</v>
      </c>
      <c r="J103" s="45"/>
      <c r="L103" s="252" t="s">
        <v>263</v>
      </c>
      <c r="M103" s="247" t="s">
        <v>306</v>
      </c>
      <c r="N103" s="248"/>
      <c r="O103" s="249"/>
      <c r="P103" s="250" t="s">
        <v>307</v>
      </c>
      <c r="Q103" s="425" t="s">
        <v>308</v>
      </c>
      <c r="R103" s="250" t="s">
        <v>168</v>
      </c>
      <c r="S103" s="253" t="s">
        <v>310</v>
      </c>
    </row>
    <row r="104" spans="2:19" ht="12.75">
      <c r="B104" s="207">
        <v>1</v>
      </c>
      <c r="C104" s="208" t="s">
        <v>270</v>
      </c>
      <c r="D104" s="209"/>
      <c r="E104" s="210"/>
      <c r="F104" s="211">
        <f>cost_50L_plastic_bag</f>
        <v>0.12</v>
      </c>
      <c r="G104" s="422">
        <f>(TRUNC(G26/50)+TRUNC(G26/ratio_inf_to_noninf/50)+2)*E10</f>
        <v>14235</v>
      </c>
      <c r="H104" s="211"/>
      <c r="I104" s="212">
        <f>F104*G104</f>
        <v>1708.2</v>
      </c>
      <c r="J104" s="182"/>
      <c r="L104" s="207">
        <v>1</v>
      </c>
      <c r="M104" s="208" t="s">
        <v>270</v>
      </c>
      <c r="N104" s="209"/>
      <c r="O104" s="210"/>
      <c r="P104" s="211">
        <f>cost_50L_plastic_bag</f>
        <v>0.12</v>
      </c>
      <c r="Q104" s="422">
        <f>(TRUNC(Q26/50)+TRUNC(Q26/ratio_inf_to_noninf/50)+2)*E10</f>
        <v>730</v>
      </c>
      <c r="R104" s="211"/>
      <c r="S104" s="486">
        <f>P104*Q104</f>
        <v>87.6</v>
      </c>
    </row>
    <row r="105" spans="2:19" ht="12.75">
      <c r="B105" s="207">
        <v>2</v>
      </c>
      <c r="C105" s="208" t="s">
        <v>322</v>
      </c>
      <c r="D105" s="209"/>
      <c r="E105" s="210"/>
      <c r="F105" s="211">
        <f>E15</f>
        <v>0.047</v>
      </c>
      <c r="G105" s="424">
        <f>kWh_per_liter_large_autoclave*G26*E10</f>
        <v>1041.466666666667</v>
      </c>
      <c r="H105" s="211" t="s">
        <v>154</v>
      </c>
      <c r="I105" s="212">
        <f>F105*G105</f>
        <v>48.94893333333334</v>
      </c>
      <c r="J105" s="182"/>
      <c r="L105" s="207">
        <v>2</v>
      </c>
      <c r="M105" s="208" t="s">
        <v>322</v>
      </c>
      <c r="N105" s="209"/>
      <c r="O105" s="210"/>
      <c r="P105" s="211">
        <f>E15</f>
        <v>0.047</v>
      </c>
      <c r="Q105" s="422">
        <f>kWh_per_liter_large_autoclave*Q26*E10</f>
        <v>0</v>
      </c>
      <c r="R105" s="211" t="s">
        <v>154</v>
      </c>
      <c r="S105" s="486">
        <f>P105*Q105</f>
        <v>0</v>
      </c>
    </row>
    <row r="106" spans="2:19" ht="12.75">
      <c r="B106" s="207">
        <v>3</v>
      </c>
      <c r="C106" s="208" t="s">
        <v>324</v>
      </c>
      <c r="D106" s="209"/>
      <c r="E106" s="210"/>
      <c r="F106" s="211">
        <f>Cost_water_sewage</f>
        <v>1.09</v>
      </c>
      <c r="G106" s="422">
        <f>(TRUNC(G26/100)+1)*water_use_125L_autoclave</f>
        <v>9</v>
      </c>
      <c r="H106" s="211" t="s">
        <v>245</v>
      </c>
      <c r="I106" s="212">
        <f>F106/1000*G106*E10</f>
        <v>3.5806500000000003</v>
      </c>
      <c r="J106" s="182"/>
      <c r="L106" s="207">
        <v>3</v>
      </c>
      <c r="M106" s="208" t="s">
        <v>324</v>
      </c>
      <c r="N106" s="209"/>
      <c r="O106" s="210"/>
      <c r="P106" s="211">
        <f>Cost_water_sewage</f>
        <v>1.09</v>
      </c>
      <c r="Q106" s="422">
        <f>(TRUNC(Q26/100)+1)*water_use_340L_autoclave</f>
        <v>3</v>
      </c>
      <c r="R106" s="211" t="s">
        <v>245</v>
      </c>
      <c r="S106" s="486">
        <f>P106/1000*Q106*E10</f>
        <v>1.19355</v>
      </c>
    </row>
    <row r="107" spans="2:19" ht="12.75">
      <c r="B107" s="207">
        <v>4</v>
      </c>
      <c r="C107" s="208" t="s">
        <v>445</v>
      </c>
      <c r="D107" s="209"/>
      <c r="E107" s="210"/>
      <c r="F107" s="211">
        <f>cost_per_autoclave_test_indicator</f>
        <v>0.187</v>
      </c>
      <c r="G107" s="422">
        <v>1</v>
      </c>
      <c r="H107" s="211" t="s">
        <v>446</v>
      </c>
      <c r="I107" s="212">
        <f>F107*G107*E10</f>
        <v>68.255</v>
      </c>
      <c r="J107" s="182"/>
      <c r="L107" s="207">
        <v>4</v>
      </c>
      <c r="M107" s="208" t="s">
        <v>445</v>
      </c>
      <c r="N107" s="209"/>
      <c r="O107" s="210"/>
      <c r="P107" s="211">
        <f>cost_per_autoclave_test_indicator</f>
        <v>0.187</v>
      </c>
      <c r="Q107" s="422">
        <v>1</v>
      </c>
      <c r="R107" s="211" t="s">
        <v>446</v>
      </c>
      <c r="S107" s="212">
        <f>P107*Q107*E10</f>
        <v>68.255</v>
      </c>
    </row>
    <row r="108" spans="2:19" ht="12.75">
      <c r="B108" s="207">
        <v>5</v>
      </c>
      <c r="C108" s="208" t="s">
        <v>156</v>
      </c>
      <c r="D108" s="209"/>
      <c r="E108" s="210"/>
      <c r="F108" s="211">
        <f>E12</f>
        <v>3</v>
      </c>
      <c r="G108" s="422">
        <f>E13*beds_per_large_A_HCF</f>
        <v>2.14</v>
      </c>
      <c r="H108" s="211"/>
      <c r="I108" s="212">
        <f>F108*G108*E10</f>
        <v>2343.3</v>
      </c>
      <c r="J108" s="182"/>
      <c r="L108" s="207">
        <v>5</v>
      </c>
      <c r="M108" s="208" t="s">
        <v>156</v>
      </c>
      <c r="N108" s="209"/>
      <c r="O108" s="210"/>
      <c r="P108" s="211">
        <f>E12</f>
        <v>3</v>
      </c>
      <c r="Q108" s="422">
        <f>E13*beds_per_large_B_HCF</f>
        <v>0</v>
      </c>
      <c r="R108" s="211"/>
      <c r="S108" s="486">
        <f>P108*Q108*E10</f>
        <v>0</v>
      </c>
    </row>
    <row r="109" spans="2:19" ht="12.75">
      <c r="B109" s="207">
        <v>6</v>
      </c>
      <c r="C109" s="208" t="s">
        <v>158</v>
      </c>
      <c r="D109" s="209"/>
      <c r="E109" s="210"/>
      <c r="F109" s="211">
        <f>E14</f>
        <v>24</v>
      </c>
      <c r="G109" s="422">
        <v>1</v>
      </c>
      <c r="H109" s="211" t="s">
        <v>160</v>
      </c>
      <c r="I109" s="212">
        <f>F109*G109*E10</f>
        <v>8760</v>
      </c>
      <c r="J109" s="182"/>
      <c r="L109" s="207">
        <v>6</v>
      </c>
      <c r="M109" s="208" t="s">
        <v>158</v>
      </c>
      <c r="N109" s="209"/>
      <c r="O109" s="210"/>
      <c r="P109" s="211">
        <f>E14</f>
        <v>24</v>
      </c>
      <c r="Q109" s="422">
        <v>1</v>
      </c>
      <c r="R109" s="211" t="s">
        <v>160</v>
      </c>
      <c r="S109" s="486">
        <f>P109*Q109*E10</f>
        <v>8760</v>
      </c>
    </row>
    <row r="110" spans="2:19" ht="12.75">
      <c r="B110" s="207">
        <v>7</v>
      </c>
      <c r="C110" s="208" t="s">
        <v>329</v>
      </c>
      <c r="D110" s="209"/>
      <c r="E110" s="210"/>
      <c r="F110" s="211"/>
      <c r="G110" s="422">
        <f>maintenance_frax_cap_cost*100</f>
        <v>5</v>
      </c>
      <c r="H110" s="211" t="s">
        <v>331</v>
      </c>
      <c r="I110" s="212">
        <f>I100*maintenance_frax_cap_cost</f>
        <v>258.08083766582496</v>
      </c>
      <c r="J110" s="182"/>
      <c r="L110" s="207">
        <v>7</v>
      </c>
      <c r="M110" s="208" t="s">
        <v>329</v>
      </c>
      <c r="N110" s="209"/>
      <c r="O110" s="210"/>
      <c r="P110" s="211"/>
      <c r="Q110" s="422">
        <f>maintenance_frax_cap_cost*100</f>
        <v>5</v>
      </c>
      <c r="R110" s="211" t="s">
        <v>331</v>
      </c>
      <c r="S110" s="486">
        <f>S100*maintenance_frax_cap_cost</f>
        <v>239.09026109712306</v>
      </c>
    </row>
    <row r="111" spans="2:19" ht="13.5" thickBot="1">
      <c r="B111" s="213">
        <v>8</v>
      </c>
      <c r="C111" s="214" t="s">
        <v>332</v>
      </c>
      <c r="D111" s="215"/>
      <c r="E111" s="216"/>
      <c r="F111" s="217">
        <f>E17</f>
        <v>24</v>
      </c>
      <c r="G111" s="423">
        <f>beds_per_large_A_HCF*E16</f>
        <v>42.800000000000004</v>
      </c>
      <c r="H111" s="217"/>
      <c r="I111" s="218">
        <f>F111*G111</f>
        <v>1027.2</v>
      </c>
      <c r="J111" s="182"/>
      <c r="L111" s="213">
        <v>8</v>
      </c>
      <c r="M111" s="214" t="s">
        <v>332</v>
      </c>
      <c r="N111" s="215"/>
      <c r="O111" s="216"/>
      <c r="P111" s="217">
        <f>E17</f>
        <v>24</v>
      </c>
      <c r="Q111" s="423">
        <f>beds_per_large_B_HCF*E16</f>
        <v>0</v>
      </c>
      <c r="R111" s="217"/>
      <c r="S111" s="487">
        <f>P111*Q111</f>
        <v>0</v>
      </c>
    </row>
    <row r="112" spans="2:19" s="24" customFormat="1" ht="15.75" thickTop="1">
      <c r="B112" s="31"/>
      <c r="C112" s="32" t="s">
        <v>165</v>
      </c>
      <c r="D112" s="32"/>
      <c r="E112" s="32"/>
      <c r="F112" s="32"/>
      <c r="G112" s="32"/>
      <c r="H112" s="32"/>
      <c r="I112" s="62">
        <f>SUM(I104:I111)</f>
        <v>14217.565420999159</v>
      </c>
      <c r="J112" s="45"/>
      <c r="L112" s="31"/>
      <c r="M112" s="32" t="s">
        <v>23</v>
      </c>
      <c r="N112" s="32"/>
      <c r="O112" s="32"/>
      <c r="P112" s="32"/>
      <c r="Q112" s="32"/>
      <c r="R112" s="32"/>
      <c r="S112" s="488">
        <f>SUM(S104:S111)</f>
        <v>9156.138811097122</v>
      </c>
    </row>
    <row r="113" spans="2:19" s="24" customFormat="1" ht="15.75" thickBot="1">
      <c r="B113" s="34"/>
      <c r="C113" s="35" t="s">
        <v>166</v>
      </c>
      <c r="D113" s="35"/>
      <c r="E113" s="35"/>
      <c r="F113" s="35"/>
      <c r="G113" s="35"/>
      <c r="H113" s="35"/>
      <c r="I113" s="67">
        <f>I112*number_large_A_HCFs</f>
        <v>113740.52336799327</v>
      </c>
      <c r="J113" s="45"/>
      <c r="L113" s="34"/>
      <c r="M113" s="35" t="s">
        <v>24</v>
      </c>
      <c r="N113" s="35"/>
      <c r="O113" s="35"/>
      <c r="P113" s="35"/>
      <c r="Q113" s="35"/>
      <c r="R113" s="35"/>
      <c r="S113" s="489">
        <f>S112*number_large_B_HCFs</f>
        <v>0</v>
      </c>
    </row>
    <row r="114" spans="2:19" s="40" customFormat="1" ht="15.75" thickBot="1">
      <c r="B114" s="21"/>
      <c r="C114" s="21"/>
      <c r="D114" s="21"/>
      <c r="E114" s="21"/>
      <c r="F114" s="21"/>
      <c r="G114" s="21"/>
      <c r="H114" s="21"/>
      <c r="I114" s="68"/>
      <c r="J114" s="44"/>
      <c r="L114" s="21"/>
      <c r="M114" s="21"/>
      <c r="N114" s="21"/>
      <c r="O114" s="21"/>
      <c r="P114" s="21"/>
      <c r="Q114" s="21"/>
      <c r="R114" s="21"/>
      <c r="S114" s="41"/>
    </row>
    <row r="115" spans="2:19" s="40" customFormat="1" ht="15">
      <c r="B115" s="21"/>
      <c r="C115" s="498" t="s">
        <v>456</v>
      </c>
      <c r="D115" s="499"/>
      <c r="E115" s="499"/>
      <c r="F115" s="499"/>
      <c r="G115" s="499"/>
      <c r="H115" s="499"/>
      <c r="I115" s="500"/>
      <c r="J115" s="44"/>
      <c r="M115" s="498" t="s">
        <v>456</v>
      </c>
      <c r="N115" s="499"/>
      <c r="O115" s="499"/>
      <c r="P115" s="499"/>
      <c r="Q115" s="499"/>
      <c r="R115" s="499"/>
      <c r="S115" s="500"/>
    </row>
    <row r="116" spans="2:19" s="40" customFormat="1" ht="15">
      <c r="B116" s="21"/>
      <c r="C116" s="504" t="s">
        <v>450</v>
      </c>
      <c r="D116" s="505"/>
      <c r="E116" s="506"/>
      <c r="F116" s="507" t="s">
        <v>307</v>
      </c>
      <c r="G116" s="508" t="s">
        <v>308</v>
      </c>
      <c r="H116" s="507" t="s">
        <v>168</v>
      </c>
      <c r="I116" s="509" t="s">
        <v>453</v>
      </c>
      <c r="J116" s="44"/>
      <c r="M116" s="504" t="s">
        <v>450</v>
      </c>
      <c r="N116" s="505"/>
      <c r="O116" s="506"/>
      <c r="P116" s="507" t="s">
        <v>307</v>
      </c>
      <c r="Q116" s="508" t="s">
        <v>308</v>
      </c>
      <c r="R116" s="507" t="s">
        <v>168</v>
      </c>
      <c r="S116" s="509" t="s">
        <v>453</v>
      </c>
    </row>
    <row r="117" spans="2:19" s="40" customFormat="1" ht="15.75" thickBot="1">
      <c r="B117" s="21"/>
      <c r="C117" s="510" t="s">
        <v>452</v>
      </c>
      <c r="D117" s="511"/>
      <c r="E117" s="512"/>
      <c r="F117" s="513">
        <v>0.4</v>
      </c>
      <c r="G117" s="513">
        <f>E9*beds_per_large_A_HCF*number_large_A_HCFs*E10</f>
        <v>6248.8</v>
      </c>
      <c r="H117" s="513" t="s">
        <v>454</v>
      </c>
      <c r="I117" s="503">
        <f>G117*F117</f>
        <v>2499.5200000000004</v>
      </c>
      <c r="J117" s="44"/>
      <c r="M117" s="510" t="s">
        <v>452</v>
      </c>
      <c r="N117" s="511"/>
      <c r="O117" s="512"/>
      <c r="P117" s="513">
        <v>0.4</v>
      </c>
      <c r="Q117" s="514">
        <f>E9*beds_per_large_B_HCF*number_large_B_HCFs*E10</f>
        <v>0</v>
      </c>
      <c r="R117" s="513" t="s">
        <v>454</v>
      </c>
      <c r="S117" s="503">
        <f>Q117*P117</f>
        <v>0</v>
      </c>
    </row>
    <row r="118" ht="13.5" thickBot="1">
      <c r="J118" s="182"/>
    </row>
    <row r="119" spans="2:19" ht="15">
      <c r="B119" s="196" t="s">
        <v>220</v>
      </c>
      <c r="C119" s="197"/>
      <c r="D119" s="87"/>
      <c r="E119" s="87"/>
      <c r="F119" s="87"/>
      <c r="G119" s="87"/>
      <c r="H119" s="87"/>
      <c r="I119" s="198"/>
      <c r="J119" s="182"/>
      <c r="L119" s="196" t="s">
        <v>220</v>
      </c>
      <c r="M119" s="197"/>
      <c r="N119" s="87"/>
      <c r="O119" s="87"/>
      <c r="P119" s="87"/>
      <c r="Q119" s="87"/>
      <c r="R119" s="87"/>
      <c r="S119" s="88"/>
    </row>
    <row r="120" spans="2:19" s="24" customFormat="1" ht="15">
      <c r="B120" s="235" t="s">
        <v>262</v>
      </c>
      <c r="C120" s="237"/>
      <c r="D120" s="237"/>
      <c r="E120" s="237"/>
      <c r="F120" s="237"/>
      <c r="G120" s="237"/>
      <c r="H120" s="237"/>
      <c r="I120" s="244"/>
      <c r="J120" s="45"/>
      <c r="L120" s="235" t="s">
        <v>262</v>
      </c>
      <c r="M120" s="237"/>
      <c r="N120" s="237"/>
      <c r="O120" s="237"/>
      <c r="P120" s="237"/>
      <c r="Q120" s="237"/>
      <c r="R120" s="237"/>
      <c r="S120" s="245"/>
    </row>
    <row r="121" spans="2:19" s="24" customFormat="1" ht="14.25">
      <c r="B121" s="252" t="s">
        <v>263</v>
      </c>
      <c r="C121" s="247" t="s">
        <v>306</v>
      </c>
      <c r="D121" s="248"/>
      <c r="E121" s="249"/>
      <c r="F121" s="250" t="s">
        <v>307</v>
      </c>
      <c r="G121" s="425" t="s">
        <v>308</v>
      </c>
      <c r="H121" s="425" t="s">
        <v>309</v>
      </c>
      <c r="I121" s="251" t="s">
        <v>310</v>
      </c>
      <c r="J121" s="45"/>
      <c r="L121" s="252" t="s">
        <v>263</v>
      </c>
      <c r="M121" s="247" t="s">
        <v>306</v>
      </c>
      <c r="N121" s="248"/>
      <c r="O121" s="249"/>
      <c r="P121" s="250" t="s">
        <v>307</v>
      </c>
      <c r="Q121" s="425" t="s">
        <v>308</v>
      </c>
      <c r="R121" s="425" t="s">
        <v>309</v>
      </c>
      <c r="S121" s="253" t="s">
        <v>310</v>
      </c>
    </row>
    <row r="122" spans="2:19" ht="12.75">
      <c r="B122" s="207">
        <v>1</v>
      </c>
      <c r="C122" s="208" t="s">
        <v>229</v>
      </c>
      <c r="D122" s="209"/>
      <c r="E122" s="210"/>
      <c r="F122" s="211">
        <f>cost_50L_bin</f>
        <v>20</v>
      </c>
      <c r="G122" s="422">
        <f>TRUNC(G26/50)+TRUNC(G26/ratio_inf_to_noninf/50)+2</f>
        <v>39</v>
      </c>
      <c r="H122" s="422">
        <f>life_50L_bin</f>
        <v>2</v>
      </c>
      <c r="I122" s="212">
        <f aca="true" t="shared" si="6" ref="I122:I129">((F122*discount_rate)/(1-(1/(1+discount_rate)^H122)))*G122</f>
        <v>407.63645320197037</v>
      </c>
      <c r="J122" s="182"/>
      <c r="L122" s="207">
        <v>1</v>
      </c>
      <c r="M122" s="208" t="s">
        <v>229</v>
      </c>
      <c r="N122" s="209"/>
      <c r="O122" s="210"/>
      <c r="P122" s="211">
        <f>cost_50L_bin</f>
        <v>20</v>
      </c>
      <c r="Q122" s="422">
        <f>TRUNC(Q26/50)+TRUNC(Q26/ratio_inf_to_noninf/50)+2</f>
        <v>2</v>
      </c>
      <c r="R122" s="422">
        <f>life_50L_bin</f>
        <v>2</v>
      </c>
      <c r="S122" s="486">
        <f aca="true" t="shared" si="7" ref="S122:S129">((P122*discount_rate)/(1-(1/(1+discount_rate)^R122)))*Q122</f>
        <v>20.904433497536942</v>
      </c>
    </row>
    <row r="123" spans="2:19" ht="12.75">
      <c r="B123" s="207">
        <v>2</v>
      </c>
      <c r="C123" s="208" t="s">
        <v>312</v>
      </c>
      <c r="D123" s="209"/>
      <c r="E123" s="210"/>
      <c r="F123" s="211">
        <f>cost_PPE</f>
        <v>35</v>
      </c>
      <c r="G123" s="422">
        <f>ROUND(E13*beds_per_large_A_HCF,0)</f>
        <v>2</v>
      </c>
      <c r="H123" s="422">
        <f>life_PPE</f>
        <v>2</v>
      </c>
      <c r="I123" s="212">
        <f t="shared" si="6"/>
        <v>36.58275862068965</v>
      </c>
      <c r="J123" s="182"/>
      <c r="L123" s="207">
        <v>2</v>
      </c>
      <c r="M123" s="208" t="s">
        <v>312</v>
      </c>
      <c r="N123" s="209"/>
      <c r="O123" s="210"/>
      <c r="P123" s="211">
        <f>cost_PPE</f>
        <v>35</v>
      </c>
      <c r="Q123" s="422">
        <f>ROUND(E13*beds_per_large_B_HCF,0)</f>
        <v>0</v>
      </c>
      <c r="R123" s="422">
        <f>life_PPE</f>
        <v>2</v>
      </c>
      <c r="S123" s="486">
        <f t="shared" si="7"/>
        <v>0</v>
      </c>
    </row>
    <row r="124" spans="2:19" ht="12.75">
      <c r="B124" s="207">
        <v>3</v>
      </c>
      <c r="C124" s="208" t="s">
        <v>300</v>
      </c>
      <c r="D124" s="209"/>
      <c r="E124" s="210"/>
      <c r="F124" s="211">
        <f>cost_needle_remover</f>
        <v>30</v>
      </c>
      <c r="G124" s="422">
        <f>ROUND(beds_per_large_A_HCF/E18,0)</f>
        <v>21</v>
      </c>
      <c r="H124" s="422">
        <f>life_needle_remover</f>
        <v>4</v>
      </c>
      <c r="I124" s="212">
        <f t="shared" si="6"/>
        <v>169.48703847164205</v>
      </c>
      <c r="J124" s="182"/>
      <c r="L124" s="207">
        <v>3</v>
      </c>
      <c r="M124" s="208" t="s">
        <v>300</v>
      </c>
      <c r="N124" s="209"/>
      <c r="O124" s="210"/>
      <c r="P124" s="211">
        <f>cost_needle_remover</f>
        <v>30</v>
      </c>
      <c r="Q124" s="422">
        <f>ROUND(beds_per_large_B_HCF/E18,0)</f>
        <v>0</v>
      </c>
      <c r="R124" s="422">
        <f>life_needle_remover</f>
        <v>4</v>
      </c>
      <c r="S124" s="486">
        <f t="shared" si="7"/>
        <v>0</v>
      </c>
    </row>
    <row r="125" spans="2:19" ht="12.75">
      <c r="B125" s="207">
        <v>4</v>
      </c>
      <c r="C125" s="208" t="s">
        <v>231</v>
      </c>
      <c r="D125" s="209"/>
      <c r="E125" s="210"/>
      <c r="F125" s="211">
        <f>cost_240L_wheeled_bin</f>
        <v>45</v>
      </c>
      <c r="G125" s="422">
        <f>ROUND(E13*beds_per_large_A_HCF,0)</f>
        <v>2</v>
      </c>
      <c r="H125" s="422">
        <f>life_240L_wheeled_bin</f>
        <v>4</v>
      </c>
      <c r="I125" s="212">
        <f t="shared" si="6"/>
        <v>24.21243406737744</v>
      </c>
      <c r="J125" s="182"/>
      <c r="L125" s="207">
        <v>4</v>
      </c>
      <c r="M125" s="208" t="s">
        <v>231</v>
      </c>
      <c r="N125" s="209"/>
      <c r="O125" s="210"/>
      <c r="P125" s="211">
        <f>cost_240L_wheeled_bin</f>
        <v>45</v>
      </c>
      <c r="Q125" s="422">
        <f>ROUND(E13*beds_per_large_B_HCF,0)</f>
        <v>0</v>
      </c>
      <c r="R125" s="422">
        <f>life_240L_wheeled_bin</f>
        <v>4</v>
      </c>
      <c r="S125" s="486">
        <f t="shared" si="7"/>
        <v>0</v>
      </c>
    </row>
    <row r="126" spans="2:19" ht="12.75">
      <c r="B126" s="207">
        <v>5</v>
      </c>
      <c r="C126" s="208" t="s">
        <v>232</v>
      </c>
      <c r="D126" s="209"/>
      <c r="E126" s="210"/>
      <c r="F126" s="211">
        <f>cost_large_storage_area</f>
        <v>2000</v>
      </c>
      <c r="G126" s="422">
        <v>1</v>
      </c>
      <c r="H126" s="422">
        <f>life_large_storage_area</f>
        <v>10</v>
      </c>
      <c r="I126" s="212">
        <f t="shared" si="6"/>
        <v>234.46101321031924</v>
      </c>
      <c r="J126" s="182"/>
      <c r="L126" s="207">
        <v>5</v>
      </c>
      <c r="M126" s="208" t="s">
        <v>232</v>
      </c>
      <c r="N126" s="209"/>
      <c r="O126" s="210"/>
      <c r="P126" s="211">
        <f>cost_large_storage_area</f>
        <v>2000</v>
      </c>
      <c r="Q126" s="422">
        <v>1</v>
      </c>
      <c r="R126" s="422">
        <f>life_large_storage_area</f>
        <v>10</v>
      </c>
      <c r="S126" s="486">
        <f t="shared" si="7"/>
        <v>234.46101321031924</v>
      </c>
    </row>
    <row r="127" spans="2:19" ht="12.75">
      <c r="B127" s="207">
        <v>6</v>
      </c>
      <c r="C127" s="208" t="s">
        <v>167</v>
      </c>
      <c r="D127" s="209"/>
      <c r="E127" s="210"/>
      <c r="F127" s="211">
        <f>cost_incinerator_50kg_per_hr</f>
        <v>37500</v>
      </c>
      <c r="G127" s="422">
        <v>1</v>
      </c>
      <c r="H127" s="422">
        <f>life_incinerator_50kg_per_hr</f>
        <v>10</v>
      </c>
      <c r="I127" s="212">
        <f t="shared" si="6"/>
        <v>4396.143997693485</v>
      </c>
      <c r="J127" s="182"/>
      <c r="L127" s="207">
        <v>6</v>
      </c>
      <c r="M127" s="208" t="s">
        <v>167</v>
      </c>
      <c r="N127" s="209"/>
      <c r="O127" s="210"/>
      <c r="P127" s="211">
        <f>cost_incinerator_50kg_per_hr</f>
        <v>37500</v>
      </c>
      <c r="Q127" s="422">
        <v>1</v>
      </c>
      <c r="R127" s="422">
        <f>life_incinerator_50kg_per_hr</f>
        <v>10</v>
      </c>
      <c r="S127" s="486">
        <f t="shared" si="7"/>
        <v>4396.143997693485</v>
      </c>
    </row>
    <row r="128" spans="2:19" ht="12.75">
      <c r="B128" s="207">
        <v>7</v>
      </c>
      <c r="C128" s="208" t="s">
        <v>236</v>
      </c>
      <c r="D128" s="209"/>
      <c r="E128" s="210"/>
      <c r="F128" s="211">
        <f>cost_shelter_treatment_system</f>
        <v>2000</v>
      </c>
      <c r="G128" s="422">
        <v>1</v>
      </c>
      <c r="H128" s="422">
        <f>life_shelter_treatment_system</f>
        <v>10</v>
      </c>
      <c r="I128" s="212">
        <f t="shared" si="6"/>
        <v>234.46101321031924</v>
      </c>
      <c r="J128" s="182"/>
      <c r="L128" s="207">
        <v>7</v>
      </c>
      <c r="M128" s="208" t="s">
        <v>236</v>
      </c>
      <c r="N128" s="209"/>
      <c r="O128" s="210"/>
      <c r="P128" s="211">
        <f>cost_shelter_treatment_system</f>
        <v>2000</v>
      </c>
      <c r="Q128" s="422">
        <v>1</v>
      </c>
      <c r="R128" s="422">
        <f>life_shelter_treatment_system</f>
        <v>10</v>
      </c>
      <c r="S128" s="486">
        <f t="shared" si="7"/>
        <v>234.46101321031924</v>
      </c>
    </row>
    <row r="129" spans="2:19" ht="13.5" thickBot="1">
      <c r="B129" s="213">
        <v>8</v>
      </c>
      <c r="C129" s="214" t="s">
        <v>213</v>
      </c>
      <c r="D129" s="215"/>
      <c r="E129" s="216"/>
      <c r="F129" s="217">
        <f>cost_large_ash_pit</f>
        <v>250</v>
      </c>
      <c r="G129" s="423">
        <v>1</v>
      </c>
      <c r="H129" s="423">
        <f>life_large_ash_pit</f>
        <v>3</v>
      </c>
      <c r="I129" s="218">
        <f t="shared" si="6"/>
        <v>88.38259083114954</v>
      </c>
      <c r="J129" s="182"/>
      <c r="L129" s="213">
        <v>8</v>
      </c>
      <c r="M129" s="214" t="s">
        <v>213</v>
      </c>
      <c r="N129" s="215"/>
      <c r="O129" s="216"/>
      <c r="P129" s="217">
        <f>cost_large_ash_pit</f>
        <v>250</v>
      </c>
      <c r="Q129" s="423">
        <v>1</v>
      </c>
      <c r="R129" s="423">
        <f>life_large_ash_pit</f>
        <v>3</v>
      </c>
      <c r="S129" s="487">
        <f t="shared" si="7"/>
        <v>88.38259083114954</v>
      </c>
    </row>
    <row r="130" spans="2:19" s="24" customFormat="1" ht="15.75" thickTop="1">
      <c r="B130" s="31"/>
      <c r="C130" s="32" t="s">
        <v>163</v>
      </c>
      <c r="D130" s="32"/>
      <c r="E130" s="32"/>
      <c r="F130" s="32"/>
      <c r="G130" s="32"/>
      <c r="H130" s="32"/>
      <c r="I130" s="62">
        <f>SUM(I122:I128)</f>
        <v>5502.984708475803</v>
      </c>
      <c r="J130" s="45"/>
      <c r="L130" s="31"/>
      <c r="M130" s="32" t="s">
        <v>21</v>
      </c>
      <c r="N130" s="32"/>
      <c r="O130" s="32"/>
      <c r="P130" s="32"/>
      <c r="Q130" s="32"/>
      <c r="R130" s="32"/>
      <c r="S130" s="488">
        <f>SUM(S122:S128)</f>
        <v>4885.97045761166</v>
      </c>
    </row>
    <row r="131" spans="2:19" s="24" customFormat="1" ht="15">
      <c r="B131" s="38"/>
      <c r="C131" s="39" t="s">
        <v>164</v>
      </c>
      <c r="D131" s="39"/>
      <c r="E131" s="39"/>
      <c r="F131" s="39"/>
      <c r="G131" s="39"/>
      <c r="H131" s="39"/>
      <c r="I131" s="70">
        <f>I130*number_large_A_HCFs</f>
        <v>44023.877667806424</v>
      </c>
      <c r="J131" s="45"/>
      <c r="L131" s="38"/>
      <c r="M131" s="39" t="s">
        <v>22</v>
      </c>
      <c r="N131" s="39"/>
      <c r="O131" s="39"/>
      <c r="P131" s="39"/>
      <c r="Q131" s="39"/>
      <c r="R131" s="39"/>
      <c r="S131" s="490">
        <f>S130*number_large_B_HCFs</f>
        <v>0</v>
      </c>
    </row>
    <row r="132" spans="2:19" s="24" customFormat="1" ht="15">
      <c r="B132" s="235" t="s">
        <v>264</v>
      </c>
      <c r="C132" s="237"/>
      <c r="D132" s="237"/>
      <c r="E132" s="237"/>
      <c r="F132" s="237"/>
      <c r="G132" s="237"/>
      <c r="H132" s="237"/>
      <c r="I132" s="244"/>
      <c r="J132" s="45"/>
      <c r="L132" s="235" t="s">
        <v>264</v>
      </c>
      <c r="M132" s="237"/>
      <c r="N132" s="237"/>
      <c r="O132" s="237"/>
      <c r="P132" s="237"/>
      <c r="Q132" s="237"/>
      <c r="R132" s="237"/>
      <c r="S132" s="245"/>
    </row>
    <row r="133" spans="2:19" s="24" customFormat="1" ht="14.25">
      <c r="B133" s="252" t="s">
        <v>263</v>
      </c>
      <c r="C133" s="247" t="s">
        <v>306</v>
      </c>
      <c r="D133" s="248"/>
      <c r="E133" s="249"/>
      <c r="F133" s="250" t="s">
        <v>307</v>
      </c>
      <c r="G133" s="425" t="s">
        <v>308</v>
      </c>
      <c r="H133" s="250" t="s">
        <v>168</v>
      </c>
      <c r="I133" s="251" t="s">
        <v>310</v>
      </c>
      <c r="J133" s="45"/>
      <c r="L133" s="252" t="s">
        <v>263</v>
      </c>
      <c r="M133" s="247" t="s">
        <v>306</v>
      </c>
      <c r="N133" s="248"/>
      <c r="O133" s="249"/>
      <c r="P133" s="250" t="s">
        <v>307</v>
      </c>
      <c r="Q133" s="425" t="s">
        <v>308</v>
      </c>
      <c r="R133" s="250" t="s">
        <v>168</v>
      </c>
      <c r="S133" s="253" t="s">
        <v>310</v>
      </c>
    </row>
    <row r="134" spans="2:19" ht="12.75">
      <c r="B134" s="207">
        <v>1</v>
      </c>
      <c r="C134" s="208" t="s">
        <v>317</v>
      </c>
      <c r="D134" s="209"/>
      <c r="E134" s="210"/>
      <c r="F134" s="211">
        <f>cost_safety_box</f>
        <v>0.5</v>
      </c>
      <c r="G134" s="422">
        <f>G27/weight_syringe/capacity_safety_box*E10</f>
        <v>781.1</v>
      </c>
      <c r="H134" s="211"/>
      <c r="I134" s="212">
        <f>F134*G134</f>
        <v>390.55</v>
      </c>
      <c r="J134" s="182"/>
      <c r="L134" s="207">
        <v>1</v>
      </c>
      <c r="M134" s="208" t="s">
        <v>317</v>
      </c>
      <c r="N134" s="209"/>
      <c r="O134" s="210"/>
      <c r="P134" s="211">
        <f>cost_safety_box</f>
        <v>0.5</v>
      </c>
      <c r="Q134" s="422">
        <f>Q27/weight_syringe/capacity_safety_box*E10</f>
        <v>0</v>
      </c>
      <c r="R134" s="211"/>
      <c r="S134" s="486">
        <f>P134*Q134</f>
        <v>0</v>
      </c>
    </row>
    <row r="135" spans="2:19" ht="12.75">
      <c r="B135" s="207">
        <v>2</v>
      </c>
      <c r="C135" s="208" t="s">
        <v>270</v>
      </c>
      <c r="D135" s="209"/>
      <c r="E135" s="210"/>
      <c r="F135" s="211">
        <f>cost_50L_plastic_bag</f>
        <v>0.12</v>
      </c>
      <c r="G135" s="422">
        <f>(TRUNC(G26/50)+TRUNC(G26/ratio_inf_to_noninf/50)+2)*E10</f>
        <v>14235</v>
      </c>
      <c r="H135" s="211"/>
      <c r="I135" s="212">
        <f>F135*G135</f>
        <v>1708.2</v>
      </c>
      <c r="J135" s="182"/>
      <c r="L135" s="207">
        <v>2</v>
      </c>
      <c r="M135" s="208" t="s">
        <v>270</v>
      </c>
      <c r="N135" s="209"/>
      <c r="O135" s="210"/>
      <c r="P135" s="211">
        <f>cost_50L_plastic_bag</f>
        <v>0.12</v>
      </c>
      <c r="Q135" s="422">
        <f>(TRUNC(Q26/50)+TRUNC(Q26/ratio_inf_to_noninf/50)+2)*E10</f>
        <v>730</v>
      </c>
      <c r="R135" s="211"/>
      <c r="S135" s="486">
        <f>P135*Q135</f>
        <v>87.6</v>
      </c>
    </row>
    <row r="136" spans="2:19" ht="12.75">
      <c r="B136" s="207">
        <v>3</v>
      </c>
      <c r="C136" s="208" t="s">
        <v>210</v>
      </c>
      <c r="D136" s="209"/>
      <c r="E136" s="210"/>
      <c r="F136" s="211">
        <f>cost_fuel_1Ldiesel</f>
        <v>0.8</v>
      </c>
      <c r="G136" s="422">
        <f>TRUNC(G25*7/150)+1</f>
        <v>2</v>
      </c>
      <c r="H136" s="211" t="s">
        <v>174</v>
      </c>
      <c r="I136" s="212">
        <f>F136*1.5*G136*52</f>
        <v>124.80000000000001</v>
      </c>
      <c r="J136" s="182"/>
      <c r="L136" s="207">
        <v>3</v>
      </c>
      <c r="M136" s="208" t="s">
        <v>210</v>
      </c>
      <c r="N136" s="209"/>
      <c r="O136" s="210"/>
      <c r="P136" s="211">
        <f>cost_fuel_1Ldiesel</f>
        <v>0.8</v>
      </c>
      <c r="Q136" s="422">
        <f>TRUNC(Q25*7/150)+1</f>
        <v>1</v>
      </c>
      <c r="R136" s="211" t="s">
        <v>174</v>
      </c>
      <c r="S136" s="486">
        <f>P136*1.5*Q136*52</f>
        <v>62.400000000000006</v>
      </c>
    </row>
    <row r="137" spans="2:19" ht="12.75">
      <c r="B137" s="207">
        <v>4</v>
      </c>
      <c r="C137" s="208" t="s">
        <v>156</v>
      </c>
      <c r="D137" s="209"/>
      <c r="E137" s="210"/>
      <c r="F137" s="211">
        <f>E12</f>
        <v>3</v>
      </c>
      <c r="G137" s="422">
        <f>E13*beds_per_large_A_HCF</f>
        <v>2.14</v>
      </c>
      <c r="H137" s="211"/>
      <c r="I137" s="212">
        <f>F137*G137*E10</f>
        <v>2343.3</v>
      </c>
      <c r="J137" s="182"/>
      <c r="L137" s="207">
        <v>4</v>
      </c>
      <c r="M137" s="208" t="s">
        <v>156</v>
      </c>
      <c r="N137" s="209"/>
      <c r="O137" s="210"/>
      <c r="P137" s="211">
        <f>E12</f>
        <v>3</v>
      </c>
      <c r="Q137" s="422">
        <f>E13*beds_per_large_B_HCF</f>
        <v>0</v>
      </c>
      <c r="R137" s="211"/>
      <c r="S137" s="486">
        <f>P137*Q137*E10</f>
        <v>0</v>
      </c>
    </row>
    <row r="138" spans="2:19" ht="12.75">
      <c r="B138" s="207">
        <v>5</v>
      </c>
      <c r="C138" s="208" t="s">
        <v>158</v>
      </c>
      <c r="D138" s="209"/>
      <c r="E138" s="210"/>
      <c r="F138" s="211">
        <f>E14</f>
        <v>24</v>
      </c>
      <c r="G138" s="422">
        <v>1</v>
      </c>
      <c r="H138" s="211" t="s">
        <v>160</v>
      </c>
      <c r="I138" s="212">
        <f>F138*G138*E10</f>
        <v>8760</v>
      </c>
      <c r="J138" s="182"/>
      <c r="L138" s="207">
        <v>5</v>
      </c>
      <c r="M138" s="208" t="s">
        <v>158</v>
      </c>
      <c r="N138" s="209"/>
      <c r="O138" s="210"/>
      <c r="P138" s="211">
        <f>E14</f>
        <v>24</v>
      </c>
      <c r="Q138" s="422">
        <v>1</v>
      </c>
      <c r="R138" s="211" t="s">
        <v>160</v>
      </c>
      <c r="S138" s="486">
        <f>P138*Q138*E10</f>
        <v>8760</v>
      </c>
    </row>
    <row r="139" spans="2:19" ht="12.75">
      <c r="B139" s="207">
        <v>6</v>
      </c>
      <c r="C139" s="208" t="s">
        <v>329</v>
      </c>
      <c r="D139" s="209"/>
      <c r="E139" s="210"/>
      <c r="F139" s="211"/>
      <c r="G139" s="422">
        <f>maintenance_frax_cap_cost*100</f>
        <v>5</v>
      </c>
      <c r="H139" s="211" t="s">
        <v>331</v>
      </c>
      <c r="I139" s="212">
        <f>I130*maintenance_frax_cap_cost</f>
        <v>275.1492354237902</v>
      </c>
      <c r="J139" s="182"/>
      <c r="L139" s="207">
        <v>6</v>
      </c>
      <c r="M139" s="208" t="s">
        <v>329</v>
      </c>
      <c r="N139" s="209"/>
      <c r="O139" s="210"/>
      <c r="P139" s="211"/>
      <c r="Q139" s="422">
        <f>maintenance_frax_cap_cost*100</f>
        <v>5</v>
      </c>
      <c r="R139" s="211" t="s">
        <v>331</v>
      </c>
      <c r="S139" s="486">
        <f>S130*maintenance_frax_cap_cost</f>
        <v>244.29852288058302</v>
      </c>
    </row>
    <row r="140" spans="2:19" ht="13.5" thickBot="1">
      <c r="B140" s="213">
        <v>7</v>
      </c>
      <c r="C140" s="214" t="s">
        <v>332</v>
      </c>
      <c r="D140" s="215"/>
      <c r="E140" s="216"/>
      <c r="F140" s="217">
        <f>E17</f>
        <v>24</v>
      </c>
      <c r="G140" s="423">
        <f>beds_per_large_A_HCF*E16</f>
        <v>42.800000000000004</v>
      </c>
      <c r="H140" s="217"/>
      <c r="I140" s="218">
        <f>F140*G140</f>
        <v>1027.2</v>
      </c>
      <c r="J140" s="182"/>
      <c r="L140" s="213">
        <v>7</v>
      </c>
      <c r="M140" s="214" t="s">
        <v>332</v>
      </c>
      <c r="N140" s="215"/>
      <c r="O140" s="216"/>
      <c r="P140" s="217">
        <f>E17</f>
        <v>24</v>
      </c>
      <c r="Q140" s="423">
        <f>beds_per_large_B_HCF*E16</f>
        <v>0</v>
      </c>
      <c r="R140" s="217"/>
      <c r="S140" s="487">
        <f>P140*Q140</f>
        <v>0</v>
      </c>
    </row>
    <row r="141" spans="2:19" s="24" customFormat="1" ht="15.75" thickTop="1">
      <c r="B141" s="31"/>
      <c r="C141" s="32" t="s">
        <v>165</v>
      </c>
      <c r="D141" s="32"/>
      <c r="E141" s="32"/>
      <c r="F141" s="32"/>
      <c r="G141" s="32"/>
      <c r="H141" s="32"/>
      <c r="I141" s="62">
        <f>SUM(I134:I140)</f>
        <v>14629.199235423792</v>
      </c>
      <c r="J141" s="45"/>
      <c r="L141" s="31"/>
      <c r="M141" s="32" t="s">
        <v>23</v>
      </c>
      <c r="N141" s="32"/>
      <c r="O141" s="32"/>
      <c r="P141" s="32"/>
      <c r="Q141" s="32"/>
      <c r="R141" s="32"/>
      <c r="S141" s="488">
        <f>SUM(S134:S140)</f>
        <v>9154.298522880583</v>
      </c>
    </row>
    <row r="142" spans="2:19" s="24" customFormat="1" ht="15.75" thickBot="1">
      <c r="B142" s="34"/>
      <c r="C142" s="35" t="s">
        <v>166</v>
      </c>
      <c r="D142" s="35"/>
      <c r="E142" s="35"/>
      <c r="F142" s="35"/>
      <c r="G142" s="35"/>
      <c r="H142" s="35"/>
      <c r="I142" s="67">
        <f>I141*number_large_A_HCFs</f>
        <v>117033.59388339033</v>
      </c>
      <c r="J142" s="45"/>
      <c r="L142" s="34"/>
      <c r="M142" s="35" t="s">
        <v>24</v>
      </c>
      <c r="N142" s="35"/>
      <c r="O142" s="35"/>
      <c r="P142" s="35"/>
      <c r="Q142" s="35"/>
      <c r="R142" s="35"/>
      <c r="S142" s="489">
        <f>S141*number_large_B_HCFs</f>
        <v>0</v>
      </c>
    </row>
  </sheetData>
  <printOptions/>
  <pageMargins left="0.5" right="0.5" top="0.5" bottom="0.5" header="0.5" footer="0.5"/>
  <pageSetup orientation="portrait" r:id="rId1"/>
  <ignoredErrors>
    <ignoredError sqref="G26 Q26" formula="1"/>
  </ignoredErrors>
</worksheet>
</file>

<file path=xl/worksheets/sheet8.xml><?xml version="1.0" encoding="utf-8"?>
<worksheet xmlns="http://schemas.openxmlformats.org/spreadsheetml/2006/main" xmlns:r="http://schemas.openxmlformats.org/officeDocument/2006/relationships">
  <dimension ref="A1:S142"/>
  <sheetViews>
    <sheetView workbookViewId="0" topLeftCell="A1">
      <pane ySplit="3" topLeftCell="BM10" activePane="bottomLeft" state="frozen"/>
      <selection pane="topLeft" activeCell="A1" sqref="A1"/>
      <selection pane="bottomLeft" activeCell="A1" sqref="A1"/>
    </sheetView>
  </sheetViews>
  <sheetFormatPr defaultColWidth="9.140625" defaultRowHeight="12.75"/>
  <cols>
    <col min="1" max="1" width="2.140625" style="86" customWidth="1"/>
    <col min="2" max="2" width="7.57421875" style="86" customWidth="1"/>
    <col min="3" max="4" width="8.8515625" style="86" customWidth="1"/>
    <col min="5" max="5" width="21.28125" style="86" customWidth="1"/>
    <col min="6" max="6" width="8.8515625" style="86" customWidth="1"/>
    <col min="7" max="7" width="15.140625" style="86" bestFit="1" customWidth="1"/>
    <col min="8" max="8" width="8.57421875" style="86" customWidth="1"/>
    <col min="9" max="9" width="13.7109375" style="86" customWidth="1"/>
    <col min="10" max="10" width="1.57421875" style="85" customWidth="1"/>
    <col min="11" max="11" width="1.8515625" style="86" customWidth="1"/>
    <col min="12" max="14" width="8.8515625" style="86" customWidth="1"/>
    <col min="15" max="15" width="13.00390625" style="86" customWidth="1"/>
    <col min="16" max="16" width="9.00390625" style="86" bestFit="1" customWidth="1"/>
    <col min="17" max="17" width="12.140625" style="86" bestFit="1" customWidth="1"/>
    <col min="18" max="18" width="14.28125" style="86" bestFit="1" customWidth="1"/>
    <col min="19" max="19" width="15.57421875" style="86" customWidth="1"/>
    <col min="20" max="16384" width="8.8515625" style="86" customWidth="1"/>
  </cols>
  <sheetData>
    <row r="1" s="84" customFormat="1" ht="13.5" thickBot="1">
      <c r="J1" s="255"/>
    </row>
    <row r="2" s="141" customFormat="1" ht="18.75" thickBot="1">
      <c r="A2" s="140" t="s">
        <v>122</v>
      </c>
    </row>
    <row r="3" ht="13.5" thickBot="1"/>
    <row r="4" spans="1:8" s="100" customFormat="1" ht="17.25" thickBot="1">
      <c r="A4" s="99" t="s">
        <v>261</v>
      </c>
      <c r="E4" s="256"/>
      <c r="F4" s="256"/>
      <c r="G4" s="256"/>
      <c r="H4" s="256"/>
    </row>
    <row r="5" spans="1:8" s="259" customFormat="1" ht="15.75" thickBot="1">
      <c r="A5" s="257"/>
      <c r="B5" s="258"/>
      <c r="C5" s="28"/>
      <c r="D5" s="28"/>
      <c r="E5" s="21"/>
      <c r="F5" s="21"/>
      <c r="G5" s="21"/>
      <c r="H5" s="21"/>
    </row>
    <row r="6" spans="2:11" s="89" customFormat="1" ht="15">
      <c r="B6" s="260" t="s">
        <v>306</v>
      </c>
      <c r="C6" s="98"/>
      <c r="D6" s="98"/>
      <c r="E6" s="98"/>
      <c r="F6" s="124" t="s">
        <v>256</v>
      </c>
      <c r="G6" s="124" t="s">
        <v>257</v>
      </c>
      <c r="H6" s="125" t="s">
        <v>290</v>
      </c>
      <c r="J6" s="78"/>
      <c r="K6" s="101"/>
    </row>
    <row r="7" spans="2:11" ht="12.75">
      <c r="B7" s="261" t="s">
        <v>280</v>
      </c>
      <c r="C7" s="262"/>
      <c r="D7" s="262"/>
      <c r="E7" s="210"/>
      <c r="F7" s="419">
        <v>0.2</v>
      </c>
      <c r="G7" s="227" t="s">
        <v>265</v>
      </c>
      <c r="H7" s="426">
        <v>0.2</v>
      </c>
      <c r="J7" s="259"/>
      <c r="K7" s="117"/>
    </row>
    <row r="8" spans="2:11" ht="12.75">
      <c r="B8" s="223" t="s">
        <v>126</v>
      </c>
      <c r="C8" s="209"/>
      <c r="D8" s="209"/>
      <c r="E8" s="210"/>
      <c r="F8" s="419">
        <v>1</v>
      </c>
      <c r="G8" s="227" t="s">
        <v>277</v>
      </c>
      <c r="H8" s="426">
        <v>1</v>
      </c>
      <c r="J8" s="259"/>
      <c r="K8" s="117"/>
    </row>
    <row r="9" spans="2:11" ht="12.75">
      <c r="B9" s="223" t="s">
        <v>288</v>
      </c>
      <c r="C9" s="209"/>
      <c r="D9" s="209"/>
      <c r="E9" s="210"/>
      <c r="F9" s="419">
        <v>0.15</v>
      </c>
      <c r="G9" s="227" t="s">
        <v>289</v>
      </c>
      <c r="H9" s="426">
        <v>0.15</v>
      </c>
      <c r="J9" s="259"/>
      <c r="K9" s="117"/>
    </row>
    <row r="10" spans="2:11" ht="12.75">
      <c r="B10" s="223" t="s">
        <v>281</v>
      </c>
      <c r="C10" s="209"/>
      <c r="D10" s="209"/>
      <c r="E10" s="210"/>
      <c r="F10" s="419">
        <v>0.01</v>
      </c>
      <c r="G10" s="227" t="s">
        <v>265</v>
      </c>
      <c r="H10" s="426">
        <v>0.01</v>
      </c>
      <c r="J10" s="259"/>
      <c r="K10" s="117"/>
    </row>
    <row r="11" spans="2:11" ht="12.75">
      <c r="B11" s="223" t="s">
        <v>128</v>
      </c>
      <c r="C11" s="209"/>
      <c r="D11" s="209"/>
      <c r="E11" s="210"/>
      <c r="F11" s="419">
        <v>0.02</v>
      </c>
      <c r="G11" s="227" t="s">
        <v>277</v>
      </c>
      <c r="H11" s="426">
        <v>0.02</v>
      </c>
      <c r="J11" s="259"/>
      <c r="K11" s="117"/>
    </row>
    <row r="12" spans="2:11" ht="12.75">
      <c r="B12" s="223" t="s">
        <v>141</v>
      </c>
      <c r="C12" s="209"/>
      <c r="D12" s="209"/>
      <c r="E12" s="210"/>
      <c r="F12" s="419">
        <v>261</v>
      </c>
      <c r="G12" s="227" t="s">
        <v>283</v>
      </c>
      <c r="H12" s="426">
        <v>261</v>
      </c>
      <c r="J12" s="259"/>
      <c r="K12" s="117"/>
    </row>
    <row r="13" spans="2:11" ht="12.75">
      <c r="B13" s="223" t="s">
        <v>123</v>
      </c>
      <c r="C13" s="209"/>
      <c r="D13" s="209"/>
      <c r="E13" s="210"/>
      <c r="F13" s="419">
        <v>261</v>
      </c>
      <c r="G13" s="227" t="s">
        <v>283</v>
      </c>
      <c r="H13" s="426">
        <v>261</v>
      </c>
      <c r="J13" s="259"/>
      <c r="K13" s="117"/>
    </row>
    <row r="14" spans="2:11" ht="12.75">
      <c r="B14" s="223" t="s">
        <v>142</v>
      </c>
      <c r="C14" s="209"/>
      <c r="D14" s="209"/>
      <c r="E14" s="210"/>
      <c r="F14" s="419">
        <v>365</v>
      </c>
      <c r="G14" s="227" t="s">
        <v>283</v>
      </c>
      <c r="H14" s="426">
        <v>365</v>
      </c>
      <c r="J14" s="259"/>
      <c r="K14" s="117"/>
    </row>
    <row r="15" spans="2:11" ht="12.75">
      <c r="B15" s="223" t="s">
        <v>131</v>
      </c>
      <c r="C15" s="209"/>
      <c r="D15" s="209"/>
      <c r="E15" s="210"/>
      <c r="F15" s="419">
        <v>4</v>
      </c>
      <c r="G15" s="227" t="s">
        <v>132</v>
      </c>
      <c r="H15" s="426">
        <v>4</v>
      </c>
      <c r="J15" s="259"/>
      <c r="K15" s="117"/>
    </row>
    <row r="16" spans="2:11" ht="12.75">
      <c r="B16" s="223" t="s">
        <v>139</v>
      </c>
      <c r="C16" s="209"/>
      <c r="D16" s="209"/>
      <c r="E16" s="210"/>
      <c r="F16" s="419">
        <v>1</v>
      </c>
      <c r="G16" s="227" t="s">
        <v>140</v>
      </c>
      <c r="H16" s="426">
        <v>1</v>
      </c>
      <c r="J16" s="259"/>
      <c r="K16" s="117"/>
    </row>
    <row r="17" spans="2:11" ht="12.75">
      <c r="B17" s="223" t="s">
        <v>286</v>
      </c>
      <c r="C17" s="209"/>
      <c r="D17" s="209"/>
      <c r="E17" s="210"/>
      <c r="F17" s="533">
        <v>1.09</v>
      </c>
      <c r="G17" s="227" t="s">
        <v>258</v>
      </c>
      <c r="H17" s="426">
        <v>0.5</v>
      </c>
      <c r="J17" s="259"/>
      <c r="K17" s="117"/>
    </row>
    <row r="18" spans="2:11" ht="12.75">
      <c r="B18" s="223" t="s">
        <v>124</v>
      </c>
      <c r="C18" s="209"/>
      <c r="D18" s="209"/>
      <c r="E18" s="210"/>
      <c r="F18" s="533">
        <v>3</v>
      </c>
      <c r="G18" s="227" t="s">
        <v>266</v>
      </c>
      <c r="H18" s="426">
        <v>2</v>
      </c>
      <c r="J18" s="259"/>
      <c r="K18" s="117"/>
    </row>
    <row r="19" spans="2:11" ht="12.75">
      <c r="B19" s="223" t="s">
        <v>74</v>
      </c>
      <c r="C19" s="209"/>
      <c r="D19" s="209"/>
      <c r="E19" s="210"/>
      <c r="F19" s="419">
        <v>1</v>
      </c>
      <c r="G19" s="227" t="s">
        <v>75</v>
      </c>
      <c r="H19" s="426" t="s">
        <v>76</v>
      </c>
      <c r="J19" s="259"/>
      <c r="K19" s="117"/>
    </row>
    <row r="20" spans="2:11" ht="12.75">
      <c r="B20" s="223" t="s">
        <v>143</v>
      </c>
      <c r="C20" s="209"/>
      <c r="D20" s="209"/>
      <c r="E20" s="210"/>
      <c r="F20" s="419">
        <v>3</v>
      </c>
      <c r="G20" s="227" t="s">
        <v>144</v>
      </c>
      <c r="H20" s="426">
        <v>3</v>
      </c>
      <c r="J20" s="259"/>
      <c r="K20" s="117"/>
    </row>
    <row r="21" spans="2:11" ht="12.75">
      <c r="B21" s="223" t="s">
        <v>148</v>
      </c>
      <c r="C21" s="209"/>
      <c r="D21" s="209"/>
      <c r="E21" s="210"/>
      <c r="F21" s="419">
        <v>0.01</v>
      </c>
      <c r="G21" s="227" t="s">
        <v>149</v>
      </c>
      <c r="H21" s="426">
        <f>1/100</f>
        <v>0.01</v>
      </c>
      <c r="J21" s="259"/>
      <c r="K21" s="117"/>
    </row>
    <row r="22" spans="2:11" ht="12.75">
      <c r="B22" s="223" t="s">
        <v>84</v>
      </c>
      <c r="C22" s="209"/>
      <c r="D22" s="209"/>
      <c r="E22" s="210"/>
      <c r="F22" s="419">
        <v>10</v>
      </c>
      <c r="G22" s="227" t="s">
        <v>266</v>
      </c>
      <c r="H22" s="426">
        <v>10</v>
      </c>
      <c r="J22" s="259"/>
      <c r="K22" s="117"/>
    </row>
    <row r="23" spans="2:11" ht="12.75">
      <c r="B23" s="223" t="s">
        <v>302</v>
      </c>
      <c r="C23" s="209"/>
      <c r="D23" s="209"/>
      <c r="E23" s="210"/>
      <c r="F23" s="533">
        <v>0.047</v>
      </c>
      <c r="G23" s="227" t="s">
        <v>303</v>
      </c>
      <c r="H23" s="426">
        <v>0.08</v>
      </c>
      <c r="J23" s="259"/>
      <c r="K23" s="117"/>
    </row>
    <row r="24" spans="2:11" ht="12.75">
      <c r="B24" s="223" t="s">
        <v>69</v>
      </c>
      <c r="C24" s="209"/>
      <c r="D24" s="209"/>
      <c r="E24" s="210"/>
      <c r="F24" s="419">
        <v>0.2</v>
      </c>
      <c r="G24" s="227" t="s">
        <v>221</v>
      </c>
      <c r="H24" s="426">
        <f>1/5</f>
        <v>0.2</v>
      </c>
      <c r="J24" s="259"/>
      <c r="K24" s="117"/>
    </row>
    <row r="25" spans="2:11" ht="12.75">
      <c r="B25" s="223" t="s">
        <v>97</v>
      </c>
      <c r="C25" s="209"/>
      <c r="D25" s="209"/>
      <c r="E25" s="210"/>
      <c r="F25" s="533">
        <v>24</v>
      </c>
      <c r="G25" s="227" t="s">
        <v>260</v>
      </c>
      <c r="H25" s="426">
        <v>5</v>
      </c>
      <c r="J25" s="259"/>
      <c r="K25" s="117"/>
    </row>
    <row r="26" spans="2:11" ht="12.75">
      <c r="B26" s="223" t="s">
        <v>125</v>
      </c>
      <c r="C26" s="209"/>
      <c r="D26" s="209"/>
      <c r="E26" s="210"/>
      <c r="F26" s="533">
        <v>24</v>
      </c>
      <c r="G26" s="227" t="s">
        <v>260</v>
      </c>
      <c r="H26" s="426">
        <v>10</v>
      </c>
      <c r="J26" s="259"/>
      <c r="K26" s="117"/>
    </row>
    <row r="27" spans="2:11" ht="12.75">
      <c r="B27" s="223" t="s">
        <v>418</v>
      </c>
      <c r="C27" s="209"/>
      <c r="D27" s="209"/>
      <c r="E27" s="210"/>
      <c r="F27" s="419">
        <v>2</v>
      </c>
      <c r="G27" s="227" t="s">
        <v>89</v>
      </c>
      <c r="H27" s="426">
        <v>2</v>
      </c>
      <c r="J27" s="259"/>
      <c r="K27" s="117"/>
    </row>
    <row r="28" spans="2:11" ht="12.75">
      <c r="B28" s="223" t="s">
        <v>461</v>
      </c>
      <c r="C28" s="209"/>
      <c r="D28" s="209"/>
      <c r="E28" s="210"/>
      <c r="F28" s="419">
        <v>0.1</v>
      </c>
      <c r="G28" s="227" t="s">
        <v>153</v>
      </c>
      <c r="H28" s="426">
        <f>1/10</f>
        <v>0.1</v>
      </c>
      <c r="J28" s="259"/>
      <c r="K28" s="117"/>
    </row>
    <row r="29" spans="2:11" ht="12.75">
      <c r="B29" s="223" t="s">
        <v>79</v>
      </c>
      <c r="C29" s="209"/>
      <c r="D29" s="209"/>
      <c r="E29" s="210"/>
      <c r="F29" s="419">
        <v>7000</v>
      </c>
      <c r="G29" s="227" t="s">
        <v>287</v>
      </c>
      <c r="H29" s="426">
        <v>3500</v>
      </c>
      <c r="J29" s="259"/>
      <c r="K29" s="117"/>
    </row>
    <row r="30" spans="2:11" ht="12.75">
      <c r="B30" s="223" t="s">
        <v>113</v>
      </c>
      <c r="C30" s="209"/>
      <c r="D30" s="209"/>
      <c r="E30" s="210"/>
      <c r="F30" s="419">
        <v>15000</v>
      </c>
      <c r="G30" s="227" t="s">
        <v>287</v>
      </c>
      <c r="H30" s="426">
        <v>15000</v>
      </c>
      <c r="J30" s="259"/>
      <c r="K30" s="117"/>
    </row>
    <row r="31" spans="2:11" ht="12.75">
      <c r="B31" s="223" t="s">
        <v>83</v>
      </c>
      <c r="C31" s="209"/>
      <c r="D31" s="209"/>
      <c r="E31" s="210"/>
      <c r="F31" s="419">
        <v>2</v>
      </c>
      <c r="G31" s="227" t="s">
        <v>82</v>
      </c>
      <c r="H31" s="426">
        <v>2</v>
      </c>
      <c r="J31" s="259"/>
      <c r="K31" s="117"/>
    </row>
    <row r="32" spans="2:11" ht="12.75">
      <c r="B32" s="223" t="s">
        <v>437</v>
      </c>
      <c r="C32" s="209"/>
      <c r="D32" s="209"/>
      <c r="E32" s="210"/>
      <c r="F32" s="419">
        <v>23</v>
      </c>
      <c r="G32" s="227" t="s">
        <v>92</v>
      </c>
      <c r="H32" s="426">
        <v>23</v>
      </c>
      <c r="J32" s="259"/>
      <c r="K32" s="117"/>
    </row>
    <row r="33" spans="2:11" ht="13.5" thickBot="1">
      <c r="B33" s="186" t="s">
        <v>86</v>
      </c>
      <c r="C33" s="187"/>
      <c r="D33" s="187"/>
      <c r="E33" s="231"/>
      <c r="F33" s="420">
        <v>40</v>
      </c>
      <c r="G33" s="232" t="s">
        <v>87</v>
      </c>
      <c r="H33" s="427">
        <v>40</v>
      </c>
      <c r="J33" s="259"/>
      <c r="K33" s="117"/>
    </row>
    <row r="34" spans="10:11" ht="13.5" thickBot="1">
      <c r="J34" s="259"/>
      <c r="K34" s="117"/>
    </row>
    <row r="35" spans="1:8" s="143" customFormat="1" ht="17.25" thickBot="1">
      <c r="A35" s="142" t="s">
        <v>224</v>
      </c>
      <c r="E35" s="263"/>
      <c r="F35" s="263"/>
      <c r="G35" s="263"/>
      <c r="H35" s="263"/>
    </row>
    <row r="36" spans="1:10" s="78" customFormat="1" ht="16.5" thickBot="1">
      <c r="A36" s="52"/>
      <c r="E36" s="52"/>
      <c r="F36" s="52"/>
      <c r="G36" s="52"/>
      <c r="H36" s="52"/>
      <c r="J36" s="82"/>
    </row>
    <row r="37" spans="2:19" s="89" customFormat="1" ht="15">
      <c r="B37" s="147" t="s">
        <v>129</v>
      </c>
      <c r="C37" s="264"/>
      <c r="D37" s="264"/>
      <c r="E37" s="264"/>
      <c r="F37" s="264"/>
      <c r="G37" s="265" t="s">
        <v>256</v>
      </c>
      <c r="H37" s="265" t="s">
        <v>257</v>
      </c>
      <c r="I37" s="266" t="s">
        <v>290</v>
      </c>
      <c r="J37" s="82"/>
      <c r="L37" s="146" t="s">
        <v>105</v>
      </c>
      <c r="M37" s="267"/>
      <c r="N37" s="267"/>
      <c r="O37" s="267"/>
      <c r="P37" s="267"/>
      <c r="Q37" s="268" t="s">
        <v>256</v>
      </c>
      <c r="R37" s="268" t="s">
        <v>257</v>
      </c>
      <c r="S37" s="269" t="s">
        <v>290</v>
      </c>
    </row>
    <row r="38" spans="2:19" ht="12.75">
      <c r="B38" s="223" t="s">
        <v>357</v>
      </c>
      <c r="C38" s="209"/>
      <c r="D38" s="209"/>
      <c r="E38" s="209"/>
      <c r="F38" s="210"/>
      <c r="G38" s="399">
        <f>I38</f>
        <v>339</v>
      </c>
      <c r="H38" s="211" t="s">
        <v>277</v>
      </c>
      <c r="I38" s="228">
        <f>number_small_HCFs_medium_cluster*F8+(total_beds_medium_HCFs_medium_cluster+total_beds_large_HCFs_medium_cluster)*F7</f>
        <v>339</v>
      </c>
      <c r="L38" s="223" t="s">
        <v>357</v>
      </c>
      <c r="M38" s="209"/>
      <c r="N38" s="209"/>
      <c r="O38" s="209"/>
      <c r="P38" s="210"/>
      <c r="Q38" s="399">
        <f>S38</f>
        <v>0</v>
      </c>
      <c r="R38" s="211" t="s">
        <v>277</v>
      </c>
      <c r="S38" s="228">
        <f>number_small_HCFs_large_cluster*F8+(total_beds_medium_HCFs_large_cluster+total_beds_large_HCFs_large_cluster)*F7</f>
        <v>0</v>
      </c>
    </row>
    <row r="39" spans="2:19" ht="12.75">
      <c r="B39" s="223" t="s">
        <v>358</v>
      </c>
      <c r="C39" s="209"/>
      <c r="D39" s="209"/>
      <c r="E39" s="209"/>
      <c r="F39" s="210"/>
      <c r="G39" s="270">
        <f>I39</f>
        <v>115727</v>
      </c>
      <c r="H39" s="211" t="s">
        <v>90</v>
      </c>
      <c r="I39" s="228">
        <f>number_small_HCFs_medium_cluster*F8*F12+(total_beds_medium_HCFs_medium_cluster+total_beds_large_HCFs_medium_cluster)*F7*F14</f>
        <v>115727</v>
      </c>
      <c r="L39" s="223" t="s">
        <v>358</v>
      </c>
      <c r="M39" s="209"/>
      <c r="N39" s="209"/>
      <c r="O39" s="209"/>
      <c r="P39" s="210"/>
      <c r="Q39" s="270">
        <f>S39</f>
        <v>0</v>
      </c>
      <c r="R39" s="211" t="s">
        <v>90</v>
      </c>
      <c r="S39" s="228">
        <f>number_small_HCFs_large_cluster*F8*F12+(total_beds_medium_HCFs_large_cluster+total_beds_large_HCFs_large_cluster)*F7*F14</f>
        <v>0</v>
      </c>
    </row>
    <row r="40" spans="2:19" ht="12.75">
      <c r="B40" s="223" t="s">
        <v>359</v>
      </c>
      <c r="C40" s="209"/>
      <c r="D40" s="209"/>
      <c r="E40" s="209"/>
      <c r="F40" s="210"/>
      <c r="G40" s="224">
        <f>total_kg_per_day_medium_cluster/F9</f>
        <v>2260</v>
      </c>
      <c r="H40" s="211" t="s">
        <v>127</v>
      </c>
      <c r="I40" s="228"/>
      <c r="L40" s="223" t="s">
        <v>359</v>
      </c>
      <c r="M40" s="209"/>
      <c r="N40" s="209"/>
      <c r="O40" s="209"/>
      <c r="P40" s="210"/>
      <c r="Q40" s="224">
        <f>total_kg_per_day_large_cluster/F9</f>
        <v>0</v>
      </c>
      <c r="R40" s="211" t="s">
        <v>127</v>
      </c>
      <c r="S40" s="228"/>
    </row>
    <row r="41" spans="2:19" ht="12.75">
      <c r="B41" s="223" t="s">
        <v>438</v>
      </c>
      <c r="C41" s="209"/>
      <c r="D41" s="209"/>
      <c r="E41" s="209"/>
      <c r="F41" s="210"/>
      <c r="G41" s="211">
        <f>I41</f>
        <v>14.64</v>
      </c>
      <c r="H41" s="211" t="s">
        <v>277</v>
      </c>
      <c r="I41" s="480">
        <f>number_small_HCFs_medium_cluster*F11+(total_beds_medium_HCFs_medium_cluster+total_beds_large_HCFs_medium_cluster)*F10</f>
        <v>14.64</v>
      </c>
      <c r="L41" s="223" t="s">
        <v>438</v>
      </c>
      <c r="M41" s="209"/>
      <c r="N41" s="209"/>
      <c r="O41" s="209"/>
      <c r="P41" s="210"/>
      <c r="Q41" s="211">
        <f>S41</f>
        <v>0</v>
      </c>
      <c r="R41" s="211" t="s">
        <v>277</v>
      </c>
      <c r="S41" s="228">
        <f>number_small_HCFs_large_cluster*F11+(total_beds_medium_HCFs_large_cluster+total_beds_large_HCFs_large_cluster)*F10</f>
        <v>0</v>
      </c>
    </row>
    <row r="42" spans="2:19" ht="12.75">
      <c r="B42" s="261" t="s">
        <v>439</v>
      </c>
      <c r="C42" s="262"/>
      <c r="D42" s="262"/>
      <c r="E42" s="262"/>
      <c r="F42" s="219"/>
      <c r="G42" s="482">
        <f>I42</f>
        <v>5183.44</v>
      </c>
      <c r="H42" s="183" t="s">
        <v>90</v>
      </c>
      <c r="I42" s="481">
        <f>number_small_HCFs_medium_cluster*F11*F12+(total_beds_medium_HCFs_medium_cluster+total_beds_large_HCFs_medium_cluster)*F10*F14</f>
        <v>5183.44</v>
      </c>
      <c r="L42" s="261" t="s">
        <v>439</v>
      </c>
      <c r="M42" s="262"/>
      <c r="N42" s="262"/>
      <c r="O42" s="262"/>
      <c r="P42" s="219"/>
      <c r="Q42" s="183">
        <f>S42</f>
        <v>0</v>
      </c>
      <c r="R42" s="183" t="s">
        <v>277</v>
      </c>
      <c r="S42" s="479">
        <f>number_small_HCFs_large_cluster*F11*F12+(total_beds_medium_HCFs_large_cluster+total_beds_large_HCFs_large_cluster)*F10*F14</f>
        <v>0</v>
      </c>
    </row>
    <row r="43" spans="2:19" ht="13.5" thickBot="1">
      <c r="B43" s="271" t="s">
        <v>440</v>
      </c>
      <c r="C43" s="272"/>
      <c r="D43" s="272"/>
      <c r="E43" s="272"/>
      <c r="F43" s="231"/>
      <c r="G43" s="273">
        <f>I43</f>
        <v>23</v>
      </c>
      <c r="H43" s="273" t="s">
        <v>160</v>
      </c>
      <c r="I43" s="233">
        <f>ROUND(number_small_HCFs_medium_cluster/8+number_medium_HCFs_medium_cluster/2+total_beds_large_HCFs_medium_cluster*F21,0)</f>
        <v>23</v>
      </c>
      <c r="L43" s="271" t="s">
        <v>440</v>
      </c>
      <c r="M43" s="272"/>
      <c r="N43" s="272"/>
      <c r="O43" s="272"/>
      <c r="P43" s="231"/>
      <c r="Q43" s="273">
        <f>S43</f>
        <v>0</v>
      </c>
      <c r="R43" s="273" t="s">
        <v>160</v>
      </c>
      <c r="S43" s="233">
        <f>ROUND(number_small_HCFs_large_cluster/8+number_medium_HCFs_large_cluster/2+total_beds_large_HCFs_large_cluster*F21,0)</f>
        <v>0</v>
      </c>
    </row>
    <row r="44" spans="6:9" ht="12.75">
      <c r="F44" s="117"/>
      <c r="G44" s="117"/>
      <c r="H44" s="117"/>
      <c r="I44" s="117"/>
    </row>
    <row r="45" ht="13.5" thickBot="1"/>
    <row r="46" spans="2:19" s="89" customFormat="1" ht="15.75" thickBot="1">
      <c r="B46" s="148" t="s">
        <v>129</v>
      </c>
      <c r="C46" s="90"/>
      <c r="D46" s="90"/>
      <c r="E46" s="90"/>
      <c r="F46" s="90"/>
      <c r="G46" s="90"/>
      <c r="H46" s="90"/>
      <c r="I46" s="91"/>
      <c r="J46" s="82"/>
      <c r="L46" s="149" t="s">
        <v>105</v>
      </c>
      <c r="M46" s="92"/>
      <c r="N46" s="93"/>
      <c r="O46" s="93"/>
      <c r="P46" s="93"/>
      <c r="Q46" s="93"/>
      <c r="R46" s="93"/>
      <c r="S46" s="94"/>
    </row>
    <row r="47" spans="2:19" s="226" customFormat="1" ht="9" customHeight="1" thickBot="1">
      <c r="B47" s="274"/>
      <c r="C47" s="28"/>
      <c r="D47" s="259"/>
      <c r="E47" s="259"/>
      <c r="F47" s="259"/>
      <c r="G47" s="259"/>
      <c r="H47" s="259"/>
      <c r="I47" s="275"/>
      <c r="J47" s="85"/>
      <c r="L47" s="276"/>
      <c r="M47" s="81"/>
      <c r="N47" s="259"/>
      <c r="O47" s="259"/>
      <c r="P47" s="259"/>
      <c r="Q47" s="259"/>
      <c r="R47" s="259"/>
      <c r="S47" s="275"/>
    </row>
    <row r="48" spans="2:19" s="89" customFormat="1" ht="15.75" thickBot="1">
      <c r="B48" s="150" t="s">
        <v>130</v>
      </c>
      <c r="C48" s="113"/>
      <c r="D48" s="150"/>
      <c r="E48" s="113"/>
      <c r="F48" s="95"/>
      <c r="G48" s="95"/>
      <c r="H48" s="95"/>
      <c r="I48" s="96"/>
      <c r="J48" s="82"/>
      <c r="L48" s="277" t="s">
        <v>106</v>
      </c>
      <c r="M48" s="114"/>
      <c r="N48" s="277"/>
      <c r="O48" s="115"/>
      <c r="P48" s="97"/>
      <c r="Q48" s="95"/>
      <c r="R48" s="95"/>
      <c r="S48" s="96"/>
    </row>
    <row r="49" spans="2:19" ht="12.75">
      <c r="B49" s="116"/>
      <c r="C49" s="117"/>
      <c r="D49" s="117"/>
      <c r="E49" s="117"/>
      <c r="F49" s="117"/>
      <c r="G49" s="117"/>
      <c r="H49" s="117"/>
      <c r="I49" s="118"/>
      <c r="L49" s="116"/>
      <c r="M49" s="117"/>
      <c r="N49" s="117"/>
      <c r="O49" s="117"/>
      <c r="P49" s="117"/>
      <c r="Q49" s="117"/>
      <c r="R49" s="117"/>
      <c r="S49" s="118"/>
    </row>
    <row r="50" spans="2:19" s="89" customFormat="1" ht="15">
      <c r="B50" s="278" t="s">
        <v>135</v>
      </c>
      <c r="C50" s="279"/>
      <c r="D50" s="280"/>
      <c r="E50" s="280"/>
      <c r="F50" s="280"/>
      <c r="G50" s="280"/>
      <c r="H50" s="280"/>
      <c r="I50" s="281"/>
      <c r="J50" s="282"/>
      <c r="L50" s="278" t="s">
        <v>135</v>
      </c>
      <c r="M50" s="279"/>
      <c r="N50" s="280"/>
      <c r="O50" s="280"/>
      <c r="P50" s="280"/>
      <c r="Q50" s="280"/>
      <c r="R50" s="280"/>
      <c r="S50" s="281"/>
    </row>
    <row r="51" spans="2:19" ht="14.25">
      <c r="B51" s="283" t="s">
        <v>263</v>
      </c>
      <c r="C51" s="284" t="s">
        <v>306</v>
      </c>
      <c r="D51" s="285"/>
      <c r="E51" s="286"/>
      <c r="F51" s="287" t="s">
        <v>307</v>
      </c>
      <c r="G51" s="428" t="s">
        <v>308</v>
      </c>
      <c r="H51" s="428" t="s">
        <v>309</v>
      </c>
      <c r="I51" s="288" t="s">
        <v>310</v>
      </c>
      <c r="J51" s="289"/>
      <c r="L51" s="283" t="s">
        <v>263</v>
      </c>
      <c r="M51" s="284" t="s">
        <v>306</v>
      </c>
      <c r="N51" s="285"/>
      <c r="O51" s="286"/>
      <c r="P51" s="287" t="s">
        <v>307</v>
      </c>
      <c r="Q51" s="428" t="s">
        <v>308</v>
      </c>
      <c r="R51" s="428" t="s">
        <v>309</v>
      </c>
      <c r="S51" s="288" t="s">
        <v>310</v>
      </c>
    </row>
    <row r="52" spans="2:19" ht="12.75">
      <c r="B52" s="207">
        <v>1</v>
      </c>
      <c r="C52" s="208" t="s">
        <v>311</v>
      </c>
      <c r="D52" s="209"/>
      <c r="E52" s="210"/>
      <c r="F52" s="211">
        <f>cost_15L_bin</f>
        <v>5</v>
      </c>
      <c r="G52" s="422">
        <f>F15*number_small_HCFs_medium_cluster</f>
        <v>308</v>
      </c>
      <c r="H52" s="422">
        <f>life_50L_bin</f>
        <v>2</v>
      </c>
      <c r="I52" s="212">
        <f aca="true" t="shared" si="0" ref="I52:I58">((F52*discount_rate)/(1-(1/(1+discount_rate)^H52)))*G52</f>
        <v>804.8206896551723</v>
      </c>
      <c r="J52" s="290"/>
      <c r="L52" s="207">
        <v>1</v>
      </c>
      <c r="M52" s="208" t="s">
        <v>311</v>
      </c>
      <c r="N52" s="209"/>
      <c r="O52" s="210"/>
      <c r="P52" s="211">
        <f>cost_15L_bin</f>
        <v>5</v>
      </c>
      <c r="Q52" s="422">
        <f>F15*number_small_HCFs_large_cluster</f>
        <v>0</v>
      </c>
      <c r="R52" s="422">
        <f>life_50L_bin</f>
        <v>2</v>
      </c>
      <c r="S52" s="212">
        <f aca="true" t="shared" si="1" ref="S52:S58">((P52*discount_rate)/(1-(1/(1+discount_rate)^R52)))*Q52</f>
        <v>0</v>
      </c>
    </row>
    <row r="53" spans="2:19" ht="12.75">
      <c r="B53" s="207">
        <v>2</v>
      </c>
      <c r="C53" s="208" t="s">
        <v>229</v>
      </c>
      <c r="D53" s="209"/>
      <c r="E53" s="210"/>
      <c r="F53" s="211">
        <f>cost_50L_bin</f>
        <v>20</v>
      </c>
      <c r="G53" s="422">
        <f>TRUNC((total_beds_medium_HCFs_medium_cluster+total_beds_large_HCFs_medium_cluster)*F7/F9/50)+TRUNC((total_beds_medium_HCFs_medium_cluster+total_beds_large_HCFs_medium_cluster)*F7/F9/ratio_inf_to_noninf/50)+2</f>
        <v>233</v>
      </c>
      <c r="H53" s="422">
        <f>life_50L_bin</f>
        <v>2</v>
      </c>
      <c r="I53" s="212">
        <f t="shared" si="0"/>
        <v>2435.3665024630536</v>
      </c>
      <c r="J53" s="290"/>
      <c r="L53" s="207">
        <v>2</v>
      </c>
      <c r="M53" s="208" t="s">
        <v>229</v>
      </c>
      <c r="N53" s="209"/>
      <c r="O53" s="210"/>
      <c r="P53" s="211">
        <f>cost_50L_bin</f>
        <v>20</v>
      </c>
      <c r="Q53" s="422">
        <f>TRUNC((total_beds_medium_HCFs_large_cluster+total_beds_large_HCFs_large_cluster)*F7/F9/50)+TRUNC((total_beds_medium_HCFs_large_cluster+total_beds_large_HCFs_large_cluster)*F7/F9/ratio_inf_to_noninf/50)+2</f>
        <v>2</v>
      </c>
      <c r="R53" s="422">
        <f>life_50L_bin</f>
        <v>2</v>
      </c>
      <c r="S53" s="212">
        <f t="shared" si="1"/>
        <v>20.904433497536942</v>
      </c>
    </row>
    <row r="54" spans="2:19" ht="12.75">
      <c r="B54" s="207">
        <v>3</v>
      </c>
      <c r="C54" s="208" t="s">
        <v>312</v>
      </c>
      <c r="D54" s="209"/>
      <c r="E54" s="210"/>
      <c r="F54" s="211">
        <f>cost_PPE</f>
        <v>35</v>
      </c>
      <c r="G54" s="422">
        <f>number_small_HCFs_medium_cluster+number_medium_HCFs_medium_cluster+ROUND(total_beds_large_HCFs_medium_cluster*F21,0)</f>
        <v>91</v>
      </c>
      <c r="H54" s="422">
        <f>life_PPE</f>
        <v>2</v>
      </c>
      <c r="I54" s="212">
        <f t="shared" si="0"/>
        <v>1664.5155172413793</v>
      </c>
      <c r="J54" s="290"/>
      <c r="L54" s="207">
        <v>3</v>
      </c>
      <c r="M54" s="208" t="s">
        <v>312</v>
      </c>
      <c r="N54" s="209"/>
      <c r="O54" s="210"/>
      <c r="P54" s="211">
        <f>cost_PPE</f>
        <v>35</v>
      </c>
      <c r="Q54" s="422">
        <f>number_small_HCFs_large_cluster+number_medium_HCFs_large_cluster+ROUND(total_beds_large_HCFs_large_cluster*F21,0)</f>
        <v>0</v>
      </c>
      <c r="R54" s="422">
        <f>life_PPE</f>
        <v>2</v>
      </c>
      <c r="S54" s="212">
        <f t="shared" si="1"/>
        <v>0</v>
      </c>
    </row>
    <row r="55" spans="2:19" ht="12.75">
      <c r="B55" s="207">
        <v>4</v>
      </c>
      <c r="C55" s="208" t="s">
        <v>231</v>
      </c>
      <c r="D55" s="209"/>
      <c r="E55" s="210"/>
      <c r="F55" s="211">
        <f>cost_240L_wheeled_bin</f>
        <v>45</v>
      </c>
      <c r="G55" s="424">
        <f>number_medium_HCFs_medium_cluster+ROUND(total_beds_large_HCFs_medium_cluster*F21,0)</f>
        <v>14</v>
      </c>
      <c r="H55" s="422">
        <f>life_240L_wheeled_bin</f>
        <v>4</v>
      </c>
      <c r="I55" s="212">
        <f t="shared" si="0"/>
        <v>169.48703847164208</v>
      </c>
      <c r="J55" s="290"/>
      <c r="L55" s="207">
        <v>4</v>
      </c>
      <c r="M55" s="208" t="s">
        <v>231</v>
      </c>
      <c r="N55" s="209"/>
      <c r="O55" s="210"/>
      <c r="P55" s="211">
        <f>cost_240L_wheeled_bin</f>
        <v>45</v>
      </c>
      <c r="Q55" s="424">
        <f>number_medium_HCFs_large_cluster+ROUND(total_beds_large_HCFs_large_cluster*F21,0)</f>
        <v>0</v>
      </c>
      <c r="R55" s="422">
        <f>life_240L_wheeled_bin</f>
        <v>4</v>
      </c>
      <c r="S55" s="212">
        <f t="shared" si="1"/>
        <v>0</v>
      </c>
    </row>
    <row r="56" spans="2:19" ht="12.75">
      <c r="B56" s="207">
        <v>5</v>
      </c>
      <c r="C56" s="208" t="s">
        <v>133</v>
      </c>
      <c r="D56" s="209"/>
      <c r="E56" s="210"/>
      <c r="F56" s="211">
        <f>cost_storage_area</f>
        <v>1000</v>
      </c>
      <c r="G56" s="422">
        <f>number_medium_HCFs_medium_cluster</f>
        <v>1</v>
      </c>
      <c r="H56" s="422">
        <f>life_large_storage_area</f>
        <v>10</v>
      </c>
      <c r="I56" s="212">
        <f t="shared" si="0"/>
        <v>117.23050660515962</v>
      </c>
      <c r="J56" s="290"/>
      <c r="L56" s="207">
        <v>5</v>
      </c>
      <c r="M56" s="208" t="s">
        <v>133</v>
      </c>
      <c r="N56" s="209"/>
      <c r="O56" s="210"/>
      <c r="P56" s="211">
        <f>cost_storage_area</f>
        <v>1000</v>
      </c>
      <c r="Q56" s="422">
        <f>number_medium_HCFs_large_cluster</f>
        <v>0</v>
      </c>
      <c r="R56" s="422">
        <f>life_large_storage_area</f>
        <v>10</v>
      </c>
      <c r="S56" s="212">
        <f t="shared" si="1"/>
        <v>0</v>
      </c>
    </row>
    <row r="57" spans="2:19" ht="12.75">
      <c r="B57" s="207">
        <v>6</v>
      </c>
      <c r="C57" s="208" t="s">
        <v>134</v>
      </c>
      <c r="D57" s="209"/>
      <c r="E57" s="210"/>
      <c r="F57" s="211">
        <f>cost_large_storage_area</f>
        <v>2000</v>
      </c>
      <c r="G57" s="422">
        <f>number_large_HCFs_medium_cluster</f>
        <v>5</v>
      </c>
      <c r="H57" s="422">
        <f>life_large_storage_area</f>
        <v>10</v>
      </c>
      <c r="I57" s="212">
        <f t="shared" si="0"/>
        <v>1172.3050660515962</v>
      </c>
      <c r="J57" s="290"/>
      <c r="L57" s="207">
        <v>6</v>
      </c>
      <c r="M57" s="208" t="s">
        <v>134</v>
      </c>
      <c r="N57" s="209"/>
      <c r="O57" s="210"/>
      <c r="P57" s="211">
        <f>cost_large_storage_area</f>
        <v>2000</v>
      </c>
      <c r="Q57" s="422">
        <f>number_large_HCFs_large_cluster</f>
        <v>0</v>
      </c>
      <c r="R57" s="422">
        <f>life_large_storage_area</f>
        <v>10</v>
      </c>
      <c r="S57" s="212">
        <f t="shared" si="1"/>
        <v>0</v>
      </c>
    </row>
    <row r="58" spans="2:19" ht="13.5" thickBot="1">
      <c r="B58" s="225">
        <v>7</v>
      </c>
      <c r="C58" s="214" t="s">
        <v>152</v>
      </c>
      <c r="D58" s="215"/>
      <c r="E58" s="216"/>
      <c r="F58" s="216">
        <f>cost_reusable_sharps_container</f>
        <v>35</v>
      </c>
      <c r="G58" s="423">
        <f>number_small_HCFs_medium_cluster*2+ROUND((number_medium_HCFs_medium_cluster+total_beds_large_HCFs_medium_cluster)*F28,0)</f>
        <v>283</v>
      </c>
      <c r="H58" s="423">
        <f>life_reusable_sharps_container</f>
        <v>2</v>
      </c>
      <c r="I58" s="218">
        <f t="shared" si="0"/>
        <v>5176.460344827586</v>
      </c>
      <c r="J58" s="290"/>
      <c r="L58" s="225">
        <v>7</v>
      </c>
      <c r="M58" s="214" t="s">
        <v>152</v>
      </c>
      <c r="N58" s="215"/>
      <c r="O58" s="216"/>
      <c r="P58" s="216">
        <f>cost_reusable_sharps_container</f>
        <v>35</v>
      </c>
      <c r="Q58" s="423">
        <f>number_small_HCFs_large_cluster*2+ROUND((number_medium_HCFs_large_cluster+total_beds_large_HCFs_large_cluster)*F28,0)</f>
        <v>0</v>
      </c>
      <c r="R58" s="423">
        <f>life_reusable_sharps_container</f>
        <v>2</v>
      </c>
      <c r="S58" s="218">
        <f t="shared" si="1"/>
        <v>0</v>
      </c>
    </row>
    <row r="59" spans="2:19" ht="15.75" thickTop="1">
      <c r="B59" s="31"/>
      <c r="C59" s="32" t="s">
        <v>136</v>
      </c>
      <c r="D59" s="32"/>
      <c r="E59" s="32"/>
      <c r="F59" s="32"/>
      <c r="G59" s="32"/>
      <c r="H59" s="32"/>
      <c r="I59" s="62">
        <f>SUM(I52:I58)</f>
        <v>11540.185665315588</v>
      </c>
      <c r="J59" s="83"/>
      <c r="L59" s="31"/>
      <c r="M59" s="32" t="s">
        <v>110</v>
      </c>
      <c r="N59" s="32"/>
      <c r="O59" s="32"/>
      <c r="P59" s="32"/>
      <c r="Q59" s="32"/>
      <c r="R59" s="32"/>
      <c r="S59" s="62">
        <f>SUM(S52:S58)</f>
        <v>20.904433497536942</v>
      </c>
    </row>
    <row r="60" spans="2:19" ht="15.75" thickBot="1">
      <c r="B60" s="31"/>
      <c r="C60" s="32" t="s">
        <v>137</v>
      </c>
      <c r="D60" s="32"/>
      <c r="E60" s="32"/>
      <c r="F60" s="32"/>
      <c r="G60" s="32"/>
      <c r="H60" s="32"/>
      <c r="I60" s="62">
        <f>I59*number_medium_clusters</f>
        <v>11540.185665315588</v>
      </c>
      <c r="J60" s="83"/>
      <c r="L60" s="31"/>
      <c r="M60" s="32" t="s">
        <v>111</v>
      </c>
      <c r="N60" s="32"/>
      <c r="O60" s="32"/>
      <c r="P60" s="32"/>
      <c r="Q60" s="32"/>
      <c r="R60" s="32"/>
      <c r="S60" s="62">
        <f>S59*number_large_clusters</f>
        <v>0</v>
      </c>
    </row>
    <row r="61" spans="2:19" s="89" customFormat="1" ht="15">
      <c r="B61" s="491" t="s">
        <v>138</v>
      </c>
      <c r="C61" s="492"/>
      <c r="D61" s="493"/>
      <c r="E61" s="493"/>
      <c r="F61" s="493"/>
      <c r="G61" s="493"/>
      <c r="H61" s="493"/>
      <c r="I61" s="494"/>
      <c r="J61" s="282"/>
      <c r="L61" s="278" t="s">
        <v>138</v>
      </c>
      <c r="M61" s="279"/>
      <c r="N61" s="280"/>
      <c r="O61" s="280"/>
      <c r="P61" s="280"/>
      <c r="Q61" s="280"/>
      <c r="R61" s="280"/>
      <c r="S61" s="281"/>
    </row>
    <row r="62" spans="2:19" ht="14.25">
      <c r="B62" s="283" t="s">
        <v>263</v>
      </c>
      <c r="C62" s="284" t="s">
        <v>306</v>
      </c>
      <c r="D62" s="285"/>
      <c r="E62" s="286"/>
      <c r="F62" s="287" t="s">
        <v>307</v>
      </c>
      <c r="G62" s="428" t="s">
        <v>308</v>
      </c>
      <c r="H62" s="287" t="s">
        <v>168</v>
      </c>
      <c r="I62" s="288" t="s">
        <v>310</v>
      </c>
      <c r="J62" s="289"/>
      <c r="L62" s="283" t="s">
        <v>263</v>
      </c>
      <c r="M62" s="284" t="s">
        <v>306</v>
      </c>
      <c r="N62" s="285"/>
      <c r="O62" s="286"/>
      <c r="P62" s="287" t="s">
        <v>307</v>
      </c>
      <c r="Q62" s="428" t="s">
        <v>308</v>
      </c>
      <c r="R62" s="287" t="s">
        <v>168</v>
      </c>
      <c r="S62" s="288" t="s">
        <v>310</v>
      </c>
    </row>
    <row r="63" spans="2:19" ht="12.75">
      <c r="B63" s="207">
        <v>1</v>
      </c>
      <c r="C63" s="208" t="s">
        <v>297</v>
      </c>
      <c r="D63" s="209"/>
      <c r="E63" s="210"/>
      <c r="F63" s="211">
        <f>cost_15L_plastic_bag</f>
        <v>0.06</v>
      </c>
      <c r="G63" s="422">
        <f>F16*number_small_HCFs_medium_cluster*F12</f>
        <v>20097</v>
      </c>
      <c r="H63" s="211"/>
      <c r="I63" s="212">
        <f>F63*G63</f>
        <v>1205.82</v>
      </c>
      <c r="J63" s="290"/>
      <c r="L63" s="207">
        <v>1</v>
      </c>
      <c r="M63" s="208" t="s">
        <v>297</v>
      </c>
      <c r="N63" s="209"/>
      <c r="O63" s="210"/>
      <c r="P63" s="211">
        <f>cost_15L_plastic_bag</f>
        <v>0.06</v>
      </c>
      <c r="Q63" s="424">
        <f>F16*number_small_HCFs_large_cluster*F12</f>
        <v>0</v>
      </c>
      <c r="R63" s="211"/>
      <c r="S63" s="212">
        <f>P63*Q63</f>
        <v>0</v>
      </c>
    </row>
    <row r="64" spans="2:19" ht="12.75">
      <c r="B64" s="207">
        <v>2</v>
      </c>
      <c r="C64" s="208" t="s">
        <v>270</v>
      </c>
      <c r="D64" s="209"/>
      <c r="E64" s="210"/>
      <c r="F64" s="211">
        <f>cost_50L_plastic_bag</f>
        <v>0.12</v>
      </c>
      <c r="G64" s="422">
        <f>(TRUNC((total_beds_medium_HCFs_medium_cluster+total_beds_large_HCFs_medium_cluster)*F7/F9/50)+TRUNC((total_beds_medium_HCFs_medium_cluster+total_beds_large_HCFs_medium_cluster)*F7/F9/ratio_inf_to_noninf/50)+2)*F14</f>
        <v>85045</v>
      </c>
      <c r="H64" s="211"/>
      <c r="I64" s="212">
        <f>F64*G64</f>
        <v>10205.4</v>
      </c>
      <c r="J64" s="290"/>
      <c r="L64" s="207">
        <v>2</v>
      </c>
      <c r="M64" s="208" t="s">
        <v>270</v>
      </c>
      <c r="N64" s="209"/>
      <c r="O64" s="210"/>
      <c r="P64" s="211">
        <f>cost_50L_plastic_bag</f>
        <v>0.12</v>
      </c>
      <c r="Q64" s="422">
        <f>(TRUNC((total_beds_medium_HCFs_large_cluster+total_beds_large_HCFs_large_cluster)*F7/F9/50)+TRUNC((total_beds_medium_HCFs_large_cluster+total_beds_large_HCFs_large_cluster)*F7/F9/ratio_inf_to_noninf/50)+2)*F14</f>
        <v>730</v>
      </c>
      <c r="R64" s="211"/>
      <c r="S64" s="212">
        <f>P64*Q64</f>
        <v>87.6</v>
      </c>
    </row>
    <row r="65" spans="2:19" ht="12.75">
      <c r="B65" s="207">
        <v>3</v>
      </c>
      <c r="C65" s="208" t="s">
        <v>156</v>
      </c>
      <c r="D65" s="209"/>
      <c r="E65" s="210"/>
      <c r="F65" s="211">
        <f>F18</f>
        <v>3</v>
      </c>
      <c r="G65" s="422">
        <f>number_FTE_HCW_medium_cluster</f>
        <v>23</v>
      </c>
      <c r="H65" s="211"/>
      <c r="I65" s="212">
        <f>F65*G65*F13</f>
        <v>18009</v>
      </c>
      <c r="J65" s="290"/>
      <c r="L65" s="207">
        <v>3</v>
      </c>
      <c r="M65" s="208" t="s">
        <v>156</v>
      </c>
      <c r="N65" s="209"/>
      <c r="O65" s="210"/>
      <c r="P65" s="211">
        <f>F18</f>
        <v>3</v>
      </c>
      <c r="Q65" s="422">
        <f>number_FTE_HCW_large_cluster</f>
        <v>0</v>
      </c>
      <c r="R65" s="211"/>
      <c r="S65" s="212">
        <f>P65*Q65*F13</f>
        <v>0</v>
      </c>
    </row>
    <row r="66" spans="2:19" ht="12.75">
      <c r="B66" s="207">
        <v>4</v>
      </c>
      <c r="C66" s="208" t="s">
        <v>158</v>
      </c>
      <c r="D66" s="209"/>
      <c r="E66" s="210"/>
      <c r="F66" s="211">
        <f>F22</f>
        <v>10</v>
      </c>
      <c r="G66" s="424">
        <f>number_medium_HCFs_medium_cluster*0.25+number_large_HCFs_medium_cluster</f>
        <v>5.25</v>
      </c>
      <c r="H66" s="211" t="s">
        <v>160</v>
      </c>
      <c r="I66" s="212">
        <f>F66*G66*F13</f>
        <v>13702.5</v>
      </c>
      <c r="J66" s="290"/>
      <c r="L66" s="207">
        <v>4</v>
      </c>
      <c r="M66" s="208" t="s">
        <v>158</v>
      </c>
      <c r="N66" s="209"/>
      <c r="O66" s="210"/>
      <c r="P66" s="211">
        <f>F22</f>
        <v>10</v>
      </c>
      <c r="Q66" s="422">
        <f>number_medium_HCFs_large_cluster*0.25+number_large_HCFs_large_cluster</f>
        <v>0</v>
      </c>
      <c r="R66" s="211" t="s">
        <v>160</v>
      </c>
      <c r="S66" s="212">
        <f>P66*Q66*F13</f>
        <v>0</v>
      </c>
    </row>
    <row r="67" spans="2:19" ht="12.75">
      <c r="B67" s="207">
        <v>5</v>
      </c>
      <c r="C67" s="208" t="s">
        <v>329</v>
      </c>
      <c r="D67" s="209"/>
      <c r="E67" s="210"/>
      <c r="F67" s="211"/>
      <c r="G67" s="422">
        <f>maintenance_frax_cap_cost*100</f>
        <v>5</v>
      </c>
      <c r="H67" s="211" t="s">
        <v>331</v>
      </c>
      <c r="I67" s="212">
        <f>I59*maintenance_frax_cap_cost</f>
        <v>577.0092832657795</v>
      </c>
      <c r="J67" s="290"/>
      <c r="L67" s="207">
        <v>5</v>
      </c>
      <c r="M67" s="208" t="s">
        <v>329</v>
      </c>
      <c r="N67" s="209"/>
      <c r="O67" s="210"/>
      <c r="P67" s="211"/>
      <c r="Q67" s="424">
        <f>maintenance_frax_cap_cost*100</f>
        <v>5</v>
      </c>
      <c r="R67" s="211" t="s">
        <v>331</v>
      </c>
      <c r="S67" s="212">
        <f>S59*maintenance_frax_cap_cost</f>
        <v>1.0452216748768473</v>
      </c>
    </row>
    <row r="68" spans="2:19" ht="12.75">
      <c r="B68" s="207">
        <v>6</v>
      </c>
      <c r="C68" s="208" t="s">
        <v>146</v>
      </c>
      <c r="D68" s="209"/>
      <c r="E68" s="210"/>
      <c r="F68" s="211">
        <f>F25</f>
        <v>24</v>
      </c>
      <c r="G68" s="422">
        <f>number_small_HCFs_medium_cluster*F20</f>
        <v>231</v>
      </c>
      <c r="H68" s="211"/>
      <c r="I68" s="212">
        <f>F68*G68</f>
        <v>5544</v>
      </c>
      <c r="J68" s="290"/>
      <c r="L68" s="207">
        <v>6</v>
      </c>
      <c r="M68" s="208" t="s">
        <v>146</v>
      </c>
      <c r="N68" s="209"/>
      <c r="O68" s="210"/>
      <c r="P68" s="211">
        <f>F25</f>
        <v>24</v>
      </c>
      <c r="Q68" s="422">
        <f>number_small_HCFs_large_cluster*F20</f>
        <v>0</v>
      </c>
      <c r="R68" s="211"/>
      <c r="S68" s="212">
        <f>P68*Q68</f>
        <v>0</v>
      </c>
    </row>
    <row r="69" spans="2:19" ht="13.5" thickBot="1">
      <c r="B69" s="225">
        <v>7</v>
      </c>
      <c r="C69" s="214" t="s">
        <v>145</v>
      </c>
      <c r="D69" s="215"/>
      <c r="E69" s="216"/>
      <c r="F69" s="216">
        <f>F26</f>
        <v>24</v>
      </c>
      <c r="G69" s="423">
        <f>(total_beds_medium_HCFs_medium_cluster+total_beds_large_HCFs_medium_cluster)*F24</f>
        <v>262</v>
      </c>
      <c r="H69" s="217"/>
      <c r="I69" s="218">
        <f>F69*G69</f>
        <v>6288</v>
      </c>
      <c r="J69" s="290"/>
      <c r="L69" s="225">
        <v>7</v>
      </c>
      <c r="M69" s="214" t="s">
        <v>145</v>
      </c>
      <c r="N69" s="215"/>
      <c r="O69" s="216"/>
      <c r="P69" s="216">
        <f>F26</f>
        <v>24</v>
      </c>
      <c r="Q69" s="423">
        <f>(total_beds_medium_HCFs_large_cluster+total_beds_large_HCFs_large_cluster)*F24</f>
        <v>0</v>
      </c>
      <c r="R69" s="217"/>
      <c r="S69" s="218">
        <f>P69*Q69</f>
        <v>0</v>
      </c>
    </row>
    <row r="70" spans="2:19" ht="15.75" thickTop="1">
      <c r="B70" s="31"/>
      <c r="C70" s="32" t="s">
        <v>70</v>
      </c>
      <c r="D70" s="32"/>
      <c r="E70" s="32"/>
      <c r="F70" s="32"/>
      <c r="G70" s="32"/>
      <c r="H70" s="32"/>
      <c r="I70" s="62">
        <f>SUM(I63:I69)</f>
        <v>55531.729283265784</v>
      </c>
      <c r="J70" s="83"/>
      <c r="L70" s="31"/>
      <c r="M70" s="32" t="s">
        <v>51</v>
      </c>
      <c r="N70" s="32"/>
      <c r="O70" s="32"/>
      <c r="P70" s="32"/>
      <c r="Q70" s="32"/>
      <c r="R70" s="32"/>
      <c r="S70" s="62">
        <f>SUM(S63:S69)</f>
        <v>88.64522167487684</v>
      </c>
    </row>
    <row r="71" spans="2:19" ht="15">
      <c r="B71" s="31"/>
      <c r="C71" s="32" t="s">
        <v>71</v>
      </c>
      <c r="D71" s="32"/>
      <c r="E71" s="32"/>
      <c r="F71" s="32"/>
      <c r="G71" s="32"/>
      <c r="H71" s="32"/>
      <c r="I71" s="62">
        <f>I70*number_medium_clusters</f>
        <v>55531.729283265784</v>
      </c>
      <c r="J71" s="83"/>
      <c r="L71" s="31"/>
      <c r="M71" s="32" t="s">
        <v>52</v>
      </c>
      <c r="N71" s="32"/>
      <c r="O71" s="32"/>
      <c r="P71" s="32"/>
      <c r="Q71" s="32"/>
      <c r="R71" s="32"/>
      <c r="S71" s="62">
        <f>S70*number_large_clusters</f>
        <v>0</v>
      </c>
    </row>
    <row r="72" spans="2:19" s="89" customFormat="1" ht="15">
      <c r="B72" s="278" t="s">
        <v>72</v>
      </c>
      <c r="C72" s="279"/>
      <c r="D72" s="280"/>
      <c r="E72" s="280"/>
      <c r="F72" s="280"/>
      <c r="G72" s="280"/>
      <c r="H72" s="280"/>
      <c r="I72" s="281"/>
      <c r="J72" s="282"/>
      <c r="L72" s="278" t="s">
        <v>72</v>
      </c>
      <c r="M72" s="279"/>
      <c r="N72" s="280"/>
      <c r="O72" s="280"/>
      <c r="P72" s="280"/>
      <c r="Q72" s="280"/>
      <c r="R72" s="280"/>
      <c r="S72" s="281"/>
    </row>
    <row r="73" spans="2:19" ht="14.25">
      <c r="B73" s="283" t="s">
        <v>263</v>
      </c>
      <c r="C73" s="284" t="s">
        <v>306</v>
      </c>
      <c r="D73" s="285"/>
      <c r="E73" s="286"/>
      <c r="F73" s="287" t="s">
        <v>307</v>
      </c>
      <c r="G73" s="428" t="s">
        <v>308</v>
      </c>
      <c r="H73" s="428" t="s">
        <v>309</v>
      </c>
      <c r="I73" s="288" t="s">
        <v>310</v>
      </c>
      <c r="J73" s="289"/>
      <c r="L73" s="283" t="s">
        <v>263</v>
      </c>
      <c r="M73" s="284" t="s">
        <v>306</v>
      </c>
      <c r="N73" s="285"/>
      <c r="O73" s="286"/>
      <c r="P73" s="287" t="s">
        <v>307</v>
      </c>
      <c r="Q73" s="428" t="s">
        <v>308</v>
      </c>
      <c r="R73" s="428" t="s">
        <v>309</v>
      </c>
      <c r="S73" s="288" t="s">
        <v>310</v>
      </c>
    </row>
    <row r="74" spans="2:19" ht="12.75">
      <c r="B74" s="207">
        <v>1</v>
      </c>
      <c r="C74" s="208" t="s">
        <v>172</v>
      </c>
      <c r="D74" s="209"/>
      <c r="E74" s="210"/>
      <c r="F74" s="211">
        <f>cost_340L_autoclave</f>
        <v>36500</v>
      </c>
      <c r="G74" s="422">
        <f>TRUNC(G40/340/F19/7)+1</f>
        <v>1</v>
      </c>
      <c r="H74" s="422">
        <f>life_340L_autoclave</f>
        <v>10</v>
      </c>
      <c r="I74" s="212">
        <f>((F74*discount_rate)/(1-(1/(1+discount_rate)^H74)))*G74</f>
        <v>4278.913491088326</v>
      </c>
      <c r="J74" s="290"/>
      <c r="L74" s="207">
        <v>1</v>
      </c>
      <c r="M74" s="208" t="s">
        <v>112</v>
      </c>
      <c r="N74" s="209"/>
      <c r="O74" s="210"/>
      <c r="P74" s="211">
        <f>cost_2300L_autoclave</f>
        <v>125000</v>
      </c>
      <c r="Q74" s="422">
        <f>TRUNC(Q40/2300/F19/7)+1</f>
        <v>1</v>
      </c>
      <c r="R74" s="422">
        <f>life_2300L_autoclave</f>
        <v>10</v>
      </c>
      <c r="S74" s="212">
        <f>((P74*discount_rate)/(1-(1/(1+discount_rate)^R74)))*Q74</f>
        <v>14653.813325644953</v>
      </c>
    </row>
    <row r="75" spans="2:19" ht="12.75">
      <c r="B75" s="207">
        <v>2</v>
      </c>
      <c r="C75" s="483" t="s">
        <v>422</v>
      </c>
      <c r="D75" s="262"/>
      <c r="E75" s="219"/>
      <c r="F75" s="211">
        <f>cost_medium_shredder</f>
        <v>25000</v>
      </c>
      <c r="G75" s="422">
        <v>1</v>
      </c>
      <c r="H75" s="422">
        <f>life_medium_shredder</f>
        <v>5</v>
      </c>
      <c r="I75" s="212">
        <f>((F75*discount_rate)/(1-(1/(1+discount_rate)^H75)))*G75</f>
        <v>5458.864285014405</v>
      </c>
      <c r="J75" s="290"/>
      <c r="L75" s="207">
        <v>2</v>
      </c>
      <c r="M75" s="208" t="s">
        <v>423</v>
      </c>
      <c r="N75" s="209"/>
      <c r="O75" s="210"/>
      <c r="P75" s="211">
        <f>cost_large_shredder</f>
        <v>56000</v>
      </c>
      <c r="Q75" s="422">
        <v>1</v>
      </c>
      <c r="R75" s="422">
        <f>life_large_shredder</f>
        <v>5</v>
      </c>
      <c r="S75" s="212">
        <f>((P75*discount_rate)/(1-(1/(1+discount_rate)^R75)))*Q75</f>
        <v>12227.855998432267</v>
      </c>
    </row>
    <row r="76" spans="2:19" ht="12.75">
      <c r="B76" s="223">
        <v>3</v>
      </c>
      <c r="C76" s="208" t="s">
        <v>53</v>
      </c>
      <c r="D76" s="209"/>
      <c r="E76" s="210"/>
      <c r="F76" s="210"/>
      <c r="G76" s="422">
        <v>0.05</v>
      </c>
      <c r="H76" s="422" t="s">
        <v>447</v>
      </c>
      <c r="I76" s="496">
        <f>G76*F74</f>
        <v>1825</v>
      </c>
      <c r="J76" s="290"/>
      <c r="L76" s="207">
        <v>3</v>
      </c>
      <c r="M76" s="208" t="s">
        <v>53</v>
      </c>
      <c r="N76" s="209"/>
      <c r="O76" s="210"/>
      <c r="P76" s="211"/>
      <c r="Q76" s="422">
        <v>0.05</v>
      </c>
      <c r="R76" s="422" t="s">
        <v>58</v>
      </c>
      <c r="S76" s="212">
        <f>P74*Q76</f>
        <v>6250</v>
      </c>
    </row>
    <row r="77" spans="2:19" ht="12.75">
      <c r="B77" s="207">
        <v>4</v>
      </c>
      <c r="C77" s="495" t="s">
        <v>448</v>
      </c>
      <c r="D77" s="239"/>
      <c r="E77" s="240"/>
      <c r="F77" s="211">
        <f>F29</f>
        <v>7000</v>
      </c>
      <c r="G77" s="422">
        <v>1</v>
      </c>
      <c r="H77" s="422">
        <v>10</v>
      </c>
      <c r="I77" s="212">
        <f>((F77*discount_rate)/(1-(1/(1+discount_rate)^H77)))*G77</f>
        <v>820.6135462361174</v>
      </c>
      <c r="J77" s="290"/>
      <c r="L77" s="207">
        <v>4</v>
      </c>
      <c r="M77" s="208" t="s">
        <v>78</v>
      </c>
      <c r="N77" s="209"/>
      <c r="O77" s="210"/>
      <c r="P77" s="211">
        <f>F30</f>
        <v>15000</v>
      </c>
      <c r="Q77" s="422">
        <v>1</v>
      </c>
      <c r="R77" s="422">
        <v>10</v>
      </c>
      <c r="S77" s="212">
        <f>((P77*discount_rate)/(1-(1/(1+discount_rate)^R77)))*Q77</f>
        <v>1758.4575990773942</v>
      </c>
    </row>
    <row r="78" spans="2:19" ht="15.75" thickBot="1">
      <c r="B78" s="225">
        <v>5</v>
      </c>
      <c r="C78" s="214" t="s">
        <v>77</v>
      </c>
      <c r="D78" s="215"/>
      <c r="E78" s="216"/>
      <c r="F78" s="216">
        <f>cost_transport_vehicle</f>
        <v>40000</v>
      </c>
      <c r="G78" s="423">
        <f>TRUNC(G40/5000)+1</f>
        <v>1</v>
      </c>
      <c r="H78" s="423">
        <f>life_transport_vehicle</f>
        <v>5</v>
      </c>
      <c r="I78" s="218">
        <f>((F78*discount_rate)/(1-(1/(1+discount_rate)^H78)))*G78</f>
        <v>8734.182856023048</v>
      </c>
      <c r="J78" s="83"/>
      <c r="L78" s="225">
        <v>5</v>
      </c>
      <c r="M78" s="214" t="s">
        <v>77</v>
      </c>
      <c r="N78" s="215"/>
      <c r="O78" s="216"/>
      <c r="P78" s="216">
        <f>cost_transport_vehicle</f>
        <v>40000</v>
      </c>
      <c r="Q78" s="423">
        <f>TRUNC(Q40/5000)+1</f>
        <v>1</v>
      </c>
      <c r="R78" s="423">
        <f>life_transport_vehicle</f>
        <v>5</v>
      </c>
      <c r="S78" s="218">
        <f>((P78*discount_rate)/(1-(1/(1+discount_rate)^R78)))*Q78</f>
        <v>8734.182856023048</v>
      </c>
    </row>
    <row r="79" spans="2:19" ht="15.75" thickTop="1">
      <c r="B79" s="31"/>
      <c r="C79" s="32" t="s">
        <v>80</v>
      </c>
      <c r="D79" s="32"/>
      <c r="E79" s="32"/>
      <c r="F79" s="32"/>
      <c r="G79" s="32"/>
      <c r="H79" s="32"/>
      <c r="I79" s="62">
        <f>SUM(I74:I78)</f>
        <v>21117.574178361898</v>
      </c>
      <c r="J79" s="83"/>
      <c r="L79" s="31"/>
      <c r="M79" s="32" t="s">
        <v>46</v>
      </c>
      <c r="N79" s="32"/>
      <c r="O79" s="32"/>
      <c r="P79" s="32"/>
      <c r="Q79" s="32"/>
      <c r="R79" s="32"/>
      <c r="S79" s="62">
        <f>SUM(S74:S78)</f>
        <v>43624.30977917767</v>
      </c>
    </row>
    <row r="80" spans="2:19" ht="15">
      <c r="B80" s="31"/>
      <c r="C80" s="32" t="s">
        <v>81</v>
      </c>
      <c r="D80" s="32"/>
      <c r="E80" s="32"/>
      <c r="F80" s="32"/>
      <c r="G80" s="32"/>
      <c r="H80" s="32"/>
      <c r="I80" s="62">
        <f>I79*number_medium_clusters</f>
        <v>21117.574178361898</v>
      </c>
      <c r="L80" s="31"/>
      <c r="M80" s="32" t="s">
        <v>47</v>
      </c>
      <c r="N80" s="32"/>
      <c r="O80" s="32"/>
      <c r="P80" s="32"/>
      <c r="Q80" s="32"/>
      <c r="R80" s="32"/>
      <c r="S80" s="62">
        <f>S79*number_large_clusters</f>
        <v>0</v>
      </c>
    </row>
    <row r="81" spans="2:19" s="89" customFormat="1" ht="15">
      <c r="B81" s="278" t="s">
        <v>73</v>
      </c>
      <c r="C81" s="279"/>
      <c r="D81" s="280"/>
      <c r="E81" s="280"/>
      <c r="F81" s="280"/>
      <c r="G81" s="280"/>
      <c r="H81" s="280"/>
      <c r="I81" s="281"/>
      <c r="J81" s="282"/>
      <c r="L81" s="278" t="s">
        <v>73</v>
      </c>
      <c r="M81" s="279"/>
      <c r="N81" s="280"/>
      <c r="O81" s="280"/>
      <c r="P81" s="280"/>
      <c r="Q81" s="280"/>
      <c r="R81" s="280"/>
      <c r="S81" s="281"/>
    </row>
    <row r="82" spans="2:19" ht="14.25">
      <c r="B82" s="283" t="s">
        <v>263</v>
      </c>
      <c r="C82" s="284" t="s">
        <v>306</v>
      </c>
      <c r="D82" s="285"/>
      <c r="E82" s="286"/>
      <c r="F82" s="287" t="s">
        <v>307</v>
      </c>
      <c r="G82" s="428" t="s">
        <v>308</v>
      </c>
      <c r="H82" s="287" t="s">
        <v>168</v>
      </c>
      <c r="I82" s="288" t="s">
        <v>310</v>
      </c>
      <c r="J82" s="289"/>
      <c r="L82" s="283" t="s">
        <v>263</v>
      </c>
      <c r="M82" s="284" t="s">
        <v>306</v>
      </c>
      <c r="N82" s="285"/>
      <c r="O82" s="286"/>
      <c r="P82" s="287" t="s">
        <v>307</v>
      </c>
      <c r="Q82" s="428" t="s">
        <v>308</v>
      </c>
      <c r="R82" s="287" t="s">
        <v>168</v>
      </c>
      <c r="S82" s="288" t="s">
        <v>310</v>
      </c>
    </row>
    <row r="83" spans="2:19" ht="12.75">
      <c r="B83" s="207">
        <v>1</v>
      </c>
      <c r="C83" s="208" t="s">
        <v>156</v>
      </c>
      <c r="D83" s="209"/>
      <c r="E83" s="210"/>
      <c r="F83" s="211">
        <f>F18</f>
        <v>3</v>
      </c>
      <c r="G83" s="422">
        <f>(F19*F31)+1</f>
        <v>3</v>
      </c>
      <c r="H83" s="211"/>
      <c r="I83" s="212">
        <f>F83*G83*F13</f>
        <v>2349</v>
      </c>
      <c r="J83" s="290"/>
      <c r="L83" s="207">
        <v>1</v>
      </c>
      <c r="M83" s="208" t="s">
        <v>156</v>
      </c>
      <c r="N83" s="209"/>
      <c r="O83" s="210"/>
      <c r="P83" s="211">
        <f>F18</f>
        <v>3</v>
      </c>
      <c r="Q83" s="422">
        <f>2*((F19*F31)+1)</f>
        <v>6</v>
      </c>
      <c r="R83" s="211"/>
      <c r="S83" s="212">
        <f>P83*Q83*F13</f>
        <v>4698</v>
      </c>
    </row>
    <row r="84" spans="2:19" ht="12.75">
      <c r="B84" s="207">
        <v>2</v>
      </c>
      <c r="C84" s="208" t="s">
        <v>102</v>
      </c>
      <c r="D84" s="209"/>
      <c r="E84" s="210"/>
      <c r="F84" s="211">
        <f>F22</f>
        <v>10</v>
      </c>
      <c r="G84" s="422">
        <v>1</v>
      </c>
      <c r="H84" s="211" t="s">
        <v>160</v>
      </c>
      <c r="I84" s="212">
        <f>F84*G84*F13</f>
        <v>2610</v>
      </c>
      <c r="J84" s="290"/>
      <c r="L84" s="207">
        <v>2</v>
      </c>
      <c r="M84" s="208" t="s">
        <v>102</v>
      </c>
      <c r="N84" s="209"/>
      <c r="O84" s="210"/>
      <c r="P84" s="211">
        <f>F22</f>
        <v>10</v>
      </c>
      <c r="Q84" s="422">
        <v>1</v>
      </c>
      <c r="R84" s="211" t="s">
        <v>160</v>
      </c>
      <c r="S84" s="212">
        <f>P84*Q84*F13</f>
        <v>2610</v>
      </c>
    </row>
    <row r="85" spans="2:19" ht="12.75">
      <c r="B85" s="207">
        <v>3</v>
      </c>
      <c r="C85" s="208" t="s">
        <v>91</v>
      </c>
      <c r="D85" s="209"/>
      <c r="E85" s="210"/>
      <c r="F85" s="211">
        <f>F32</f>
        <v>23</v>
      </c>
      <c r="G85" s="422">
        <f>G78</f>
        <v>1</v>
      </c>
      <c r="H85" s="211"/>
      <c r="I85" s="212">
        <f>F85*G85*F13</f>
        <v>6003</v>
      </c>
      <c r="J85" s="290"/>
      <c r="L85" s="207">
        <v>3</v>
      </c>
      <c r="M85" s="208" t="s">
        <v>91</v>
      </c>
      <c r="N85" s="209"/>
      <c r="O85" s="210"/>
      <c r="P85" s="211">
        <f>F32</f>
        <v>23</v>
      </c>
      <c r="Q85" s="422">
        <f>Q78</f>
        <v>1</v>
      </c>
      <c r="R85" s="211"/>
      <c r="S85" s="212">
        <f>P85*Q85*F13</f>
        <v>6003</v>
      </c>
    </row>
    <row r="86" spans="2:19" ht="12.75">
      <c r="B86" s="207">
        <v>4</v>
      </c>
      <c r="C86" s="208" t="s">
        <v>329</v>
      </c>
      <c r="D86" s="209"/>
      <c r="E86" s="210"/>
      <c r="F86" s="211"/>
      <c r="G86" s="422">
        <f>maintenance_frax_cap_cost*100</f>
        <v>5</v>
      </c>
      <c r="H86" s="211" t="s">
        <v>331</v>
      </c>
      <c r="I86" s="212">
        <f>I79*maintenance_frax_cap_cost</f>
        <v>1055.8787089180948</v>
      </c>
      <c r="J86" s="290"/>
      <c r="L86" s="207">
        <v>4</v>
      </c>
      <c r="M86" s="208" t="s">
        <v>329</v>
      </c>
      <c r="N86" s="209"/>
      <c r="O86" s="210"/>
      <c r="P86" s="211"/>
      <c r="Q86" s="422">
        <f>maintenance_frax_cap_cost*100</f>
        <v>5</v>
      </c>
      <c r="R86" s="211" t="s">
        <v>331</v>
      </c>
      <c r="S86" s="212">
        <f>S79*maintenance_frax_cap_cost</f>
        <v>2181.2154889588833</v>
      </c>
    </row>
    <row r="87" spans="2:19" ht="12.75">
      <c r="B87" s="207">
        <v>5</v>
      </c>
      <c r="C87" s="208" t="s">
        <v>85</v>
      </c>
      <c r="D87" s="209"/>
      <c r="E87" s="210"/>
      <c r="F87" s="211">
        <f>F33</f>
        <v>40</v>
      </c>
      <c r="G87" s="424">
        <f>G39/1000</f>
        <v>115.727</v>
      </c>
      <c r="H87" s="211" t="s">
        <v>88</v>
      </c>
      <c r="I87" s="212">
        <f>F87*G87</f>
        <v>4629.08</v>
      </c>
      <c r="J87" s="290"/>
      <c r="L87" s="207">
        <v>5</v>
      </c>
      <c r="M87" s="208" t="s">
        <v>85</v>
      </c>
      <c r="N87" s="209"/>
      <c r="O87" s="210"/>
      <c r="P87" s="211">
        <f>F33</f>
        <v>40</v>
      </c>
      <c r="Q87" s="424">
        <f>Q39/1000</f>
        <v>0</v>
      </c>
      <c r="R87" s="211" t="s">
        <v>88</v>
      </c>
      <c r="S87" s="212">
        <f>P87*Q87</f>
        <v>0</v>
      </c>
    </row>
    <row r="88" spans="2:19" ht="12.75">
      <c r="B88" s="207">
        <v>6</v>
      </c>
      <c r="C88" s="208" t="s">
        <v>322</v>
      </c>
      <c r="D88" s="209"/>
      <c r="E88" s="210"/>
      <c r="F88" s="211">
        <f>F23</f>
        <v>0.047</v>
      </c>
      <c r="G88" s="424">
        <f>(kWh_per_liter_large_autoclave+kWh_per_liter_medium_shredder)*G40*F13</f>
        <v>9555.731999999998</v>
      </c>
      <c r="H88" s="211" t="s">
        <v>154</v>
      </c>
      <c r="I88" s="212">
        <f>F88*G88</f>
        <v>449.1194039999999</v>
      </c>
      <c r="J88" s="290"/>
      <c r="L88" s="207">
        <v>6</v>
      </c>
      <c r="M88" s="208" t="s">
        <v>322</v>
      </c>
      <c r="N88" s="209"/>
      <c r="O88" s="210"/>
      <c r="P88" s="211">
        <f>F23</f>
        <v>0.047</v>
      </c>
      <c r="Q88" s="424">
        <f>(kWh_per_liter_large_autoclave+kWh_per_liter_medium_shredder)*Q40*F13</f>
        <v>0</v>
      </c>
      <c r="R88" s="211" t="s">
        <v>154</v>
      </c>
      <c r="S88" s="212">
        <f>P88*Q88</f>
        <v>0</v>
      </c>
    </row>
    <row r="89" spans="2:19" ht="12.75">
      <c r="B89" s="207">
        <v>7</v>
      </c>
      <c r="C89" s="208" t="s">
        <v>324</v>
      </c>
      <c r="D89" s="209"/>
      <c r="E89" s="210"/>
      <c r="F89" s="211">
        <f>Cost_water_sewage</f>
        <v>1.09</v>
      </c>
      <c r="G89" s="422">
        <f>(TRUNC(G39/100)+1)*water_use_340L_autoclave</f>
        <v>3474</v>
      </c>
      <c r="H89" s="211" t="s">
        <v>245</v>
      </c>
      <c r="I89" s="212">
        <f>F89/1000*G89*F13</f>
        <v>988.3182600000001</v>
      </c>
      <c r="J89" s="290"/>
      <c r="L89" s="207">
        <v>7</v>
      </c>
      <c r="M89" s="208" t="s">
        <v>324</v>
      </c>
      <c r="N89" s="209"/>
      <c r="O89" s="210"/>
      <c r="P89" s="211">
        <f>Cost_water_sewage</f>
        <v>1.09</v>
      </c>
      <c r="Q89" s="422">
        <f>(TRUNC(Q39/100)+1)*water_use_2300L_autoclave</f>
        <v>3</v>
      </c>
      <c r="R89" s="211" t="s">
        <v>245</v>
      </c>
      <c r="S89" s="212">
        <f>P89/1000*Q89*F13</f>
        <v>0.8534700000000001</v>
      </c>
    </row>
    <row r="90" spans="2:19" ht="12.75">
      <c r="B90" s="261">
        <v>8</v>
      </c>
      <c r="C90" s="483" t="s">
        <v>445</v>
      </c>
      <c r="D90" s="262"/>
      <c r="E90" s="219"/>
      <c r="F90" s="219">
        <f>cost_per_autoclave_test_indicator</f>
        <v>0.187</v>
      </c>
      <c r="G90" s="497">
        <v>1</v>
      </c>
      <c r="H90" s="183" t="s">
        <v>446</v>
      </c>
      <c r="I90" s="485">
        <f>F90*G90*F13</f>
        <v>48.807</v>
      </c>
      <c r="J90" s="290"/>
      <c r="L90" s="261">
        <v>8</v>
      </c>
      <c r="M90" s="483" t="s">
        <v>445</v>
      </c>
      <c r="N90" s="262"/>
      <c r="O90" s="219"/>
      <c r="P90" s="219">
        <f>cost_per_autoclave_test_indicator</f>
        <v>0.187</v>
      </c>
      <c r="Q90" s="497">
        <v>1</v>
      </c>
      <c r="R90" s="183" t="s">
        <v>446</v>
      </c>
      <c r="S90" s="485">
        <f>P90*Q90*F13</f>
        <v>48.807</v>
      </c>
    </row>
    <row r="91" spans="2:19" ht="13.5" thickBot="1">
      <c r="B91" s="225">
        <v>9</v>
      </c>
      <c r="C91" s="214" t="s">
        <v>96</v>
      </c>
      <c r="D91" s="215"/>
      <c r="E91" s="216"/>
      <c r="F91" s="216">
        <f>F25</f>
        <v>24</v>
      </c>
      <c r="G91" s="423">
        <f>(G83+G84)*F91*2</f>
        <v>192</v>
      </c>
      <c r="H91" s="217"/>
      <c r="I91" s="218">
        <f>F91*G91</f>
        <v>4608</v>
      </c>
      <c r="J91" s="290"/>
      <c r="L91" s="225">
        <v>9</v>
      </c>
      <c r="M91" s="214" t="s">
        <v>96</v>
      </c>
      <c r="N91" s="215"/>
      <c r="O91" s="216"/>
      <c r="P91" s="216">
        <f>F25</f>
        <v>24</v>
      </c>
      <c r="Q91" s="423">
        <f>(Q83+Q84)*P91*2</f>
        <v>336</v>
      </c>
      <c r="R91" s="217"/>
      <c r="S91" s="218">
        <f>P91*Q91</f>
        <v>8064</v>
      </c>
    </row>
    <row r="92" spans="2:19" ht="15.75" thickTop="1">
      <c r="B92" s="31"/>
      <c r="C92" s="32" t="s">
        <v>98</v>
      </c>
      <c r="D92" s="32"/>
      <c r="E92" s="32"/>
      <c r="F92" s="32"/>
      <c r="G92" s="32"/>
      <c r="H92" s="32"/>
      <c r="I92" s="62">
        <f>SUM(I83:I91)</f>
        <v>22741.203372918095</v>
      </c>
      <c r="J92" s="83"/>
      <c r="L92" s="31"/>
      <c r="M92" s="32" t="s">
        <v>49</v>
      </c>
      <c r="N92" s="32"/>
      <c r="O92" s="32"/>
      <c r="P92" s="32"/>
      <c r="Q92" s="32"/>
      <c r="R92" s="32"/>
      <c r="S92" s="62">
        <f>SUM(S83:S91)</f>
        <v>23605.875958958884</v>
      </c>
    </row>
    <row r="93" spans="2:19" ht="15.75" thickBot="1">
      <c r="B93" s="34"/>
      <c r="C93" s="35" t="s">
        <v>99</v>
      </c>
      <c r="D93" s="35"/>
      <c r="E93" s="35"/>
      <c r="F93" s="35"/>
      <c r="G93" s="35"/>
      <c r="H93" s="35"/>
      <c r="I93" s="67">
        <f>I92*number_medium_clusters</f>
        <v>22741.203372918095</v>
      </c>
      <c r="J93" s="83"/>
      <c r="L93" s="34"/>
      <c r="M93" s="35" t="s">
        <v>50</v>
      </c>
      <c r="N93" s="35"/>
      <c r="O93" s="35"/>
      <c r="P93" s="35"/>
      <c r="Q93" s="35"/>
      <c r="R93" s="35"/>
      <c r="S93" s="67">
        <f>S92*number_large_clusters</f>
        <v>0</v>
      </c>
    </row>
    <row r="94" spans="9:19" s="291" customFormat="1" ht="13.5" thickBot="1">
      <c r="I94" s="292"/>
      <c r="J94" s="293"/>
      <c r="K94" s="294"/>
      <c r="L94" s="292"/>
      <c r="S94" s="292"/>
    </row>
    <row r="95" spans="1:19" ht="13.5" thickBot="1">
      <c r="A95" s="117"/>
      <c r="B95" s="117"/>
      <c r="C95" s="117"/>
      <c r="D95" s="117"/>
      <c r="E95" s="117"/>
      <c r="F95" s="117"/>
      <c r="G95" s="117"/>
      <c r="H95" s="117"/>
      <c r="I95" s="187"/>
      <c r="K95" s="295"/>
      <c r="L95" s="117"/>
      <c r="M95" s="117"/>
      <c r="N95" s="117"/>
      <c r="O95" s="117"/>
      <c r="P95" s="117"/>
      <c r="Q95" s="117"/>
      <c r="R95" s="117"/>
      <c r="S95" s="187"/>
    </row>
    <row r="96" spans="2:19" s="89" customFormat="1" ht="15.75" thickBot="1">
      <c r="B96" s="148" t="s">
        <v>129</v>
      </c>
      <c r="C96" s="90"/>
      <c r="D96" s="90"/>
      <c r="E96" s="90"/>
      <c r="F96" s="90"/>
      <c r="G96" s="90"/>
      <c r="H96" s="90"/>
      <c r="I96" s="91"/>
      <c r="J96" s="82"/>
      <c r="L96" s="149" t="s">
        <v>105</v>
      </c>
      <c r="M96" s="92"/>
      <c r="N96" s="93"/>
      <c r="O96" s="93"/>
      <c r="P96" s="93"/>
      <c r="Q96" s="93"/>
      <c r="R96" s="93"/>
      <c r="S96" s="94"/>
    </row>
    <row r="97" spans="2:19" s="226" customFormat="1" ht="9" customHeight="1" thickBot="1">
      <c r="B97" s="274"/>
      <c r="C97" s="28"/>
      <c r="D97" s="259"/>
      <c r="E97" s="259"/>
      <c r="F97" s="259"/>
      <c r="G97" s="259"/>
      <c r="H97" s="259"/>
      <c r="I97" s="275"/>
      <c r="J97" s="85"/>
      <c r="L97" s="276"/>
      <c r="M97" s="81"/>
      <c r="N97" s="259"/>
      <c r="O97" s="259"/>
      <c r="P97" s="259"/>
      <c r="Q97" s="259"/>
      <c r="R97" s="259"/>
      <c r="S97" s="275"/>
    </row>
    <row r="98" spans="2:19" s="89" customFormat="1" ht="15.75" thickBot="1">
      <c r="B98" s="277" t="s">
        <v>100</v>
      </c>
      <c r="C98" s="114"/>
      <c r="D98" s="277"/>
      <c r="E98" s="115"/>
      <c r="F98" s="95"/>
      <c r="G98" s="95"/>
      <c r="H98" s="95"/>
      <c r="I98" s="96"/>
      <c r="J98" s="82"/>
      <c r="L98" s="277" t="s">
        <v>337</v>
      </c>
      <c r="M98" s="114"/>
      <c r="N98" s="277"/>
      <c r="O98" s="114"/>
      <c r="P98" s="97"/>
      <c r="Q98" s="95"/>
      <c r="R98" s="95"/>
      <c r="S98" s="96"/>
    </row>
    <row r="99" spans="2:19" ht="12.75">
      <c r="B99" s="116"/>
      <c r="C99" s="117"/>
      <c r="D99" s="117"/>
      <c r="E99" s="117"/>
      <c r="F99" s="117"/>
      <c r="G99" s="117"/>
      <c r="H99" s="117"/>
      <c r="I99" s="118"/>
      <c r="L99" s="116"/>
      <c r="M99" s="117"/>
      <c r="N99" s="117"/>
      <c r="O99" s="117"/>
      <c r="P99" s="117"/>
      <c r="Q99" s="117"/>
      <c r="R99" s="117"/>
      <c r="S99" s="118"/>
    </row>
    <row r="100" spans="2:19" s="89" customFormat="1" ht="15">
      <c r="B100" s="278" t="s">
        <v>135</v>
      </c>
      <c r="C100" s="279"/>
      <c r="D100" s="280"/>
      <c r="E100" s="280"/>
      <c r="F100" s="280"/>
      <c r="G100" s="280"/>
      <c r="H100" s="280"/>
      <c r="I100" s="281"/>
      <c r="J100" s="282"/>
      <c r="L100" s="278" t="s">
        <v>135</v>
      </c>
      <c r="M100" s="279"/>
      <c r="N100" s="280"/>
      <c r="O100" s="280"/>
      <c r="P100" s="280"/>
      <c r="Q100" s="280"/>
      <c r="R100" s="280"/>
      <c r="S100" s="281"/>
    </row>
    <row r="101" spans="2:19" ht="14.25">
      <c r="B101" s="283" t="s">
        <v>263</v>
      </c>
      <c r="C101" s="284" t="s">
        <v>306</v>
      </c>
      <c r="D101" s="285"/>
      <c r="E101" s="286"/>
      <c r="F101" s="287" t="s">
        <v>307</v>
      </c>
      <c r="G101" s="428" t="s">
        <v>308</v>
      </c>
      <c r="H101" s="428" t="s">
        <v>309</v>
      </c>
      <c r="I101" s="288" t="s">
        <v>310</v>
      </c>
      <c r="J101" s="289"/>
      <c r="L101" s="283" t="s">
        <v>263</v>
      </c>
      <c r="M101" s="284" t="s">
        <v>306</v>
      </c>
      <c r="N101" s="285"/>
      <c r="O101" s="286"/>
      <c r="P101" s="287" t="s">
        <v>307</v>
      </c>
      <c r="Q101" s="428" t="s">
        <v>308</v>
      </c>
      <c r="R101" s="428" t="s">
        <v>309</v>
      </c>
      <c r="S101" s="288" t="s">
        <v>310</v>
      </c>
    </row>
    <row r="102" spans="2:19" ht="12.75">
      <c r="B102" s="207">
        <v>1</v>
      </c>
      <c r="C102" s="208" t="s">
        <v>311</v>
      </c>
      <c r="D102" s="209"/>
      <c r="E102" s="210"/>
      <c r="F102" s="211">
        <f>cost_15L_bin</f>
        <v>5</v>
      </c>
      <c r="G102" s="422">
        <f>F15*number_small_HCFs_medium_cluster</f>
        <v>308</v>
      </c>
      <c r="H102" s="422">
        <f>life_50L_bin</f>
        <v>2</v>
      </c>
      <c r="I102" s="212">
        <f aca="true" t="shared" si="2" ref="I102:I107">((F102*discount_rate)/(1-(1/(1+discount_rate)^H102)))*G102</f>
        <v>804.8206896551723</v>
      </c>
      <c r="J102" s="290"/>
      <c r="L102" s="207">
        <v>1</v>
      </c>
      <c r="M102" s="208" t="s">
        <v>311</v>
      </c>
      <c r="N102" s="209"/>
      <c r="O102" s="210"/>
      <c r="P102" s="211">
        <f>cost_15L_bin</f>
        <v>5</v>
      </c>
      <c r="Q102" s="422">
        <f>F15*number_small_HCFs_large_cluster</f>
        <v>0</v>
      </c>
      <c r="R102" s="422">
        <f>life_50L_bin</f>
        <v>2</v>
      </c>
      <c r="S102" s="212">
        <f aca="true" t="shared" si="3" ref="S102:S107">((P102*discount_rate)/(1-(1/(1+discount_rate)^R102)))*Q102</f>
        <v>0</v>
      </c>
    </row>
    <row r="103" spans="2:19" ht="12.75">
      <c r="B103" s="207">
        <v>2</v>
      </c>
      <c r="C103" s="208" t="s">
        <v>229</v>
      </c>
      <c r="D103" s="209"/>
      <c r="E103" s="210"/>
      <c r="F103" s="211">
        <f>cost_50L_bin</f>
        <v>20</v>
      </c>
      <c r="G103" s="422">
        <f>TRUNC((total_beds_medium_HCFs_medium_cluster+total_beds_large_HCFs_medium_cluster)*F7/F9/50)+TRUNC((total_beds_medium_HCFs_medium_cluster+total_beds_large_HCFs_medium_cluster)*F7/F9/ratio_inf_to_noninf/50)+2</f>
        <v>233</v>
      </c>
      <c r="H103" s="422">
        <f>life_50L_bin</f>
        <v>2</v>
      </c>
      <c r="I103" s="212">
        <f t="shared" si="2"/>
        <v>2435.3665024630536</v>
      </c>
      <c r="J103" s="290"/>
      <c r="L103" s="207">
        <v>2</v>
      </c>
      <c r="M103" s="208" t="s">
        <v>229</v>
      </c>
      <c r="N103" s="209"/>
      <c r="O103" s="210"/>
      <c r="P103" s="211">
        <f>cost_50L_bin</f>
        <v>20</v>
      </c>
      <c r="Q103" s="422">
        <f>TRUNC((total_beds_medium_HCFs_large_cluster+total_beds_large_HCFs_large_cluster)*F7/F9/50)+TRUNC((total_beds_medium_HCFs_large_cluster+total_beds_large_HCFs_large_cluster)*F7/F9/ratio_inf_to_noninf/50)+2</f>
        <v>2</v>
      </c>
      <c r="R103" s="422">
        <f>life_50L_bin</f>
        <v>2</v>
      </c>
      <c r="S103" s="212">
        <f t="shared" si="3"/>
        <v>20.904433497536942</v>
      </c>
    </row>
    <row r="104" spans="2:19" ht="12.75">
      <c r="B104" s="207">
        <v>3</v>
      </c>
      <c r="C104" s="208" t="s">
        <v>312</v>
      </c>
      <c r="D104" s="209"/>
      <c r="E104" s="210"/>
      <c r="F104" s="211">
        <f>cost_PPE</f>
        <v>35</v>
      </c>
      <c r="G104" s="422">
        <f>number_small_HCFs_medium_cluster+number_medium_HCFs_medium_cluster+ROUND(total_beds_large_HCFs_medium_cluster*F21,0)</f>
        <v>91</v>
      </c>
      <c r="H104" s="422">
        <f>life_PPE</f>
        <v>2</v>
      </c>
      <c r="I104" s="212">
        <f t="shared" si="2"/>
        <v>1664.5155172413793</v>
      </c>
      <c r="J104" s="290"/>
      <c r="L104" s="207">
        <v>3</v>
      </c>
      <c r="M104" s="208" t="s">
        <v>312</v>
      </c>
      <c r="N104" s="209"/>
      <c r="O104" s="210"/>
      <c r="P104" s="211">
        <f>cost_PPE</f>
        <v>35</v>
      </c>
      <c r="Q104" s="422">
        <f>number_small_HCFs_large_cluster+number_medium_HCFs_large_cluster+ROUND(total_beds_large_HCFs_large_cluster*F21,0)</f>
        <v>0</v>
      </c>
      <c r="R104" s="422">
        <f>life_PPE</f>
        <v>2</v>
      </c>
      <c r="S104" s="212">
        <f t="shared" si="3"/>
        <v>0</v>
      </c>
    </row>
    <row r="105" spans="2:19" ht="12.75">
      <c r="B105" s="207">
        <v>4</v>
      </c>
      <c r="C105" s="208" t="s">
        <v>231</v>
      </c>
      <c r="D105" s="209"/>
      <c r="E105" s="210"/>
      <c r="F105" s="211">
        <f>cost_240L_wheeled_bin</f>
        <v>45</v>
      </c>
      <c r="G105" s="422">
        <f>number_medium_HCFs_medium_cluster+ROUND(total_beds_large_HCFs_medium_cluster*F21,0)</f>
        <v>14</v>
      </c>
      <c r="H105" s="422">
        <f>life_240L_wheeled_bin</f>
        <v>4</v>
      </c>
      <c r="I105" s="212">
        <f t="shared" si="2"/>
        <v>169.48703847164208</v>
      </c>
      <c r="J105" s="290"/>
      <c r="L105" s="207">
        <v>4</v>
      </c>
      <c r="M105" s="208" t="s">
        <v>231</v>
      </c>
      <c r="N105" s="209"/>
      <c r="O105" s="210"/>
      <c r="P105" s="211">
        <f>cost_240L_wheeled_bin</f>
        <v>45</v>
      </c>
      <c r="Q105" s="422">
        <f>number_medium_HCFs_large_cluster+ROUND(total_beds_large_HCFs_large_cluster*F21,0)</f>
        <v>0</v>
      </c>
      <c r="R105" s="422">
        <f>life_240L_wheeled_bin</f>
        <v>4</v>
      </c>
      <c r="S105" s="212">
        <f t="shared" si="3"/>
        <v>0</v>
      </c>
    </row>
    <row r="106" spans="2:19" ht="12.75">
      <c r="B106" s="207">
        <v>5</v>
      </c>
      <c r="C106" s="208" t="s">
        <v>133</v>
      </c>
      <c r="D106" s="209"/>
      <c r="E106" s="210"/>
      <c r="F106" s="211">
        <f>cost_storage_area</f>
        <v>1000</v>
      </c>
      <c r="G106" s="422">
        <f>number_medium_HCFs_medium_cluster</f>
        <v>1</v>
      </c>
      <c r="H106" s="422">
        <f>life_large_storage_area</f>
        <v>10</v>
      </c>
      <c r="I106" s="212">
        <f t="shared" si="2"/>
        <v>117.23050660515962</v>
      </c>
      <c r="J106" s="290"/>
      <c r="L106" s="207">
        <v>5</v>
      </c>
      <c r="M106" s="208" t="s">
        <v>133</v>
      </c>
      <c r="N106" s="209"/>
      <c r="O106" s="210"/>
      <c r="P106" s="211">
        <f>cost_storage_area</f>
        <v>1000</v>
      </c>
      <c r="Q106" s="422">
        <f>number_medium_HCFs_large_cluster</f>
        <v>0</v>
      </c>
      <c r="R106" s="422">
        <f>life_large_storage_area</f>
        <v>10</v>
      </c>
      <c r="S106" s="212">
        <f t="shared" si="3"/>
        <v>0</v>
      </c>
    </row>
    <row r="107" spans="2:19" ht="13.5" thickBot="1">
      <c r="B107" s="225">
        <v>6</v>
      </c>
      <c r="C107" s="214" t="s">
        <v>134</v>
      </c>
      <c r="D107" s="215"/>
      <c r="E107" s="216"/>
      <c r="F107" s="216">
        <f>cost_large_storage_area</f>
        <v>2000</v>
      </c>
      <c r="G107" s="423">
        <f>number_large_HCFs_medium_cluster</f>
        <v>5</v>
      </c>
      <c r="H107" s="423">
        <f>life_large_storage_area</f>
        <v>10</v>
      </c>
      <c r="I107" s="218">
        <f t="shared" si="2"/>
        <v>1172.3050660515962</v>
      </c>
      <c r="J107" s="290"/>
      <c r="L107" s="225">
        <v>6</v>
      </c>
      <c r="M107" s="214" t="s">
        <v>134</v>
      </c>
      <c r="N107" s="215"/>
      <c r="O107" s="216"/>
      <c r="P107" s="216">
        <f>cost_large_storage_area</f>
        <v>2000</v>
      </c>
      <c r="Q107" s="423">
        <f>number_large_HCFs_large_cluster</f>
        <v>0</v>
      </c>
      <c r="R107" s="423">
        <f>life_large_storage_area</f>
        <v>10</v>
      </c>
      <c r="S107" s="218">
        <f t="shared" si="3"/>
        <v>0</v>
      </c>
    </row>
    <row r="108" spans="2:19" ht="15.75" thickTop="1">
      <c r="B108" s="31"/>
      <c r="C108" s="32" t="s">
        <v>136</v>
      </c>
      <c r="D108" s="32"/>
      <c r="E108" s="32"/>
      <c r="F108" s="32"/>
      <c r="G108" s="32"/>
      <c r="H108" s="32"/>
      <c r="I108" s="62">
        <f>SUM(I102:I107)</f>
        <v>6363.7253204880035</v>
      </c>
      <c r="J108" s="83"/>
      <c r="L108" s="31"/>
      <c r="M108" s="32" t="s">
        <v>110</v>
      </c>
      <c r="N108" s="32"/>
      <c r="O108" s="32"/>
      <c r="P108" s="32"/>
      <c r="Q108" s="32"/>
      <c r="R108" s="32"/>
      <c r="S108" s="62">
        <f>SUM(S102:S107)</f>
        <v>20.904433497536942</v>
      </c>
    </row>
    <row r="109" spans="2:19" ht="15">
      <c r="B109" s="31"/>
      <c r="C109" s="32" t="s">
        <v>137</v>
      </c>
      <c r="D109" s="32"/>
      <c r="E109" s="32"/>
      <c r="F109" s="32"/>
      <c r="G109" s="32"/>
      <c r="H109" s="32"/>
      <c r="I109" s="62">
        <f>I108*number_medium_clusters</f>
        <v>6363.7253204880035</v>
      </c>
      <c r="J109" s="83"/>
      <c r="L109" s="31"/>
      <c r="M109" s="32" t="s">
        <v>111</v>
      </c>
      <c r="N109" s="32"/>
      <c r="O109" s="32"/>
      <c r="P109" s="32"/>
      <c r="Q109" s="32"/>
      <c r="R109" s="32"/>
      <c r="S109" s="62">
        <f>S108*number_large_clusters</f>
        <v>0</v>
      </c>
    </row>
    <row r="110" spans="2:19" s="89" customFormat="1" ht="15">
      <c r="B110" s="278" t="s">
        <v>138</v>
      </c>
      <c r="C110" s="279"/>
      <c r="D110" s="280"/>
      <c r="E110" s="280"/>
      <c r="F110" s="280"/>
      <c r="G110" s="280"/>
      <c r="H110" s="280"/>
      <c r="I110" s="281"/>
      <c r="J110" s="282"/>
      <c r="L110" s="278" t="s">
        <v>138</v>
      </c>
      <c r="M110" s="279"/>
      <c r="N110" s="280"/>
      <c r="O110" s="280"/>
      <c r="P110" s="280"/>
      <c r="Q110" s="280"/>
      <c r="R110" s="280"/>
      <c r="S110" s="281"/>
    </row>
    <row r="111" spans="2:19" ht="14.25">
      <c r="B111" s="283" t="s">
        <v>263</v>
      </c>
      <c r="C111" s="284" t="s">
        <v>306</v>
      </c>
      <c r="D111" s="285"/>
      <c r="E111" s="286"/>
      <c r="F111" s="287" t="s">
        <v>307</v>
      </c>
      <c r="G111" s="428" t="s">
        <v>308</v>
      </c>
      <c r="H111" s="287" t="s">
        <v>168</v>
      </c>
      <c r="I111" s="288" t="s">
        <v>310</v>
      </c>
      <c r="J111" s="289"/>
      <c r="L111" s="283" t="s">
        <v>263</v>
      </c>
      <c r="M111" s="284" t="s">
        <v>306</v>
      </c>
      <c r="N111" s="285"/>
      <c r="O111" s="286"/>
      <c r="P111" s="287" t="s">
        <v>307</v>
      </c>
      <c r="Q111" s="428" t="s">
        <v>308</v>
      </c>
      <c r="R111" s="287" t="s">
        <v>168</v>
      </c>
      <c r="S111" s="288" t="s">
        <v>310</v>
      </c>
    </row>
    <row r="112" spans="2:19" ht="12.75">
      <c r="B112" s="207">
        <v>1</v>
      </c>
      <c r="C112" s="208" t="s">
        <v>317</v>
      </c>
      <c r="D112" s="209"/>
      <c r="E112" s="210"/>
      <c r="F112" s="211">
        <f>cost_safety_box</f>
        <v>0.5</v>
      </c>
      <c r="G112" s="424">
        <f>(number_small_HCFs_medium_cluster*F11*F12+(total_beds_medium_HCFs_medium_cluster+total_beds_large_HCFs_medium_cluster)*F10*F14)/weight_syringe/capacity_safety_box</f>
        <v>5183.44</v>
      </c>
      <c r="H112" s="211" t="s">
        <v>101</v>
      </c>
      <c r="I112" s="212">
        <f>F112*G112</f>
        <v>2591.72</v>
      </c>
      <c r="J112" s="290"/>
      <c r="L112" s="207">
        <v>1</v>
      </c>
      <c r="M112" s="208" t="s">
        <v>317</v>
      </c>
      <c r="N112" s="209"/>
      <c r="O112" s="210"/>
      <c r="P112" s="211">
        <f>cost_safety_box</f>
        <v>0.5</v>
      </c>
      <c r="Q112" s="424">
        <f>(number_small_HCFs_large_cluster*F11*F12+(total_beds_medium_HCFs_large_cluster+total_beds_large_HCFs_large_cluster)*F10*F14)/weight_syringe/capacity_safety_box</f>
        <v>0</v>
      </c>
      <c r="R112" s="211" t="s">
        <v>101</v>
      </c>
      <c r="S112" s="212">
        <f>P112*Q112</f>
        <v>0</v>
      </c>
    </row>
    <row r="113" spans="2:19" ht="12.75">
      <c r="B113" s="207">
        <v>2</v>
      </c>
      <c r="C113" s="208" t="s">
        <v>297</v>
      </c>
      <c r="D113" s="209"/>
      <c r="E113" s="210"/>
      <c r="F113" s="211">
        <f>cost_15L_plastic_bag</f>
        <v>0.06</v>
      </c>
      <c r="G113" s="422">
        <f>F16*number_small_HCFs_medium_cluster*F12</f>
        <v>20097</v>
      </c>
      <c r="H113" s="211"/>
      <c r="I113" s="212">
        <f>F113*G113</f>
        <v>1205.82</v>
      </c>
      <c r="J113" s="290"/>
      <c r="L113" s="207">
        <v>2</v>
      </c>
      <c r="M113" s="208" t="s">
        <v>297</v>
      </c>
      <c r="N113" s="209"/>
      <c r="O113" s="210"/>
      <c r="P113" s="211">
        <f>cost_15L_plastic_bag</f>
        <v>0.06</v>
      </c>
      <c r="Q113" s="422">
        <f>F16*number_small_HCFs_large_cluster*F12</f>
        <v>0</v>
      </c>
      <c r="R113" s="211"/>
      <c r="S113" s="212">
        <f>P113*Q113</f>
        <v>0</v>
      </c>
    </row>
    <row r="114" spans="2:19" ht="12.75">
      <c r="B114" s="207">
        <v>3</v>
      </c>
      <c r="C114" s="208" t="s">
        <v>270</v>
      </c>
      <c r="D114" s="209"/>
      <c r="E114" s="210"/>
      <c r="F114" s="211">
        <f>cost_50L_plastic_bag</f>
        <v>0.12</v>
      </c>
      <c r="G114" s="422">
        <f>(TRUNC((total_beds_medium_HCFs_medium_cluster+total_beds_large_HCFs_medium_cluster)*F7/F9/50)+TRUNC((total_beds_medium_HCFs_medium_cluster+total_beds_large_HCFs_medium_cluster)*F7/F9/ratio_inf_to_noninf/50)+2)*F14</f>
        <v>85045</v>
      </c>
      <c r="H114" s="211"/>
      <c r="I114" s="212">
        <f>F114*G114</f>
        <v>10205.4</v>
      </c>
      <c r="J114" s="290"/>
      <c r="L114" s="207">
        <v>3</v>
      </c>
      <c r="M114" s="208" t="s">
        <v>270</v>
      </c>
      <c r="N114" s="209"/>
      <c r="O114" s="210"/>
      <c r="P114" s="211">
        <f>cost_50L_plastic_bag</f>
        <v>0.12</v>
      </c>
      <c r="Q114" s="422">
        <f>(TRUNC((total_beds_medium_HCFs_large_cluster+total_beds_large_HCFs_large_cluster)*F7/F9/50)+TRUNC((total_beds_medium_HCFs_large_cluster+total_beds_large_HCFs_large_cluster)*F7/F9/ratio_inf_to_noninf/50)+2)*F14</f>
        <v>730</v>
      </c>
      <c r="R114" s="211"/>
      <c r="S114" s="212">
        <f>P114*Q114</f>
        <v>87.6</v>
      </c>
    </row>
    <row r="115" spans="2:19" ht="12.75">
      <c r="B115" s="207">
        <v>4</v>
      </c>
      <c r="C115" s="208" t="s">
        <v>156</v>
      </c>
      <c r="D115" s="209"/>
      <c r="E115" s="210"/>
      <c r="F115" s="211">
        <f>F18</f>
        <v>3</v>
      </c>
      <c r="G115" s="422">
        <f>number_FTE_HCW_medium_cluster</f>
        <v>23</v>
      </c>
      <c r="H115" s="211"/>
      <c r="I115" s="212">
        <f>F115*G115*F13</f>
        <v>18009</v>
      </c>
      <c r="J115" s="290"/>
      <c r="L115" s="207">
        <v>4</v>
      </c>
      <c r="M115" s="208" t="s">
        <v>156</v>
      </c>
      <c r="N115" s="209"/>
      <c r="O115" s="210"/>
      <c r="P115" s="211">
        <f>F18</f>
        <v>3</v>
      </c>
      <c r="Q115" s="422">
        <f>number_FTE_HCW_large_cluster</f>
        <v>0</v>
      </c>
      <c r="R115" s="211"/>
      <c r="S115" s="212">
        <f>P115*Q115*F13</f>
        <v>0</v>
      </c>
    </row>
    <row r="116" spans="2:19" ht="12.75">
      <c r="B116" s="207">
        <v>5</v>
      </c>
      <c r="C116" s="208" t="s">
        <v>158</v>
      </c>
      <c r="D116" s="209"/>
      <c r="E116" s="210"/>
      <c r="F116" s="211">
        <f>F66</f>
        <v>10</v>
      </c>
      <c r="G116" s="422">
        <f>number_medium_HCFs_medium_cluster*0.25+number_large_HCFs_medium_cluster</f>
        <v>5.25</v>
      </c>
      <c r="H116" s="211" t="s">
        <v>160</v>
      </c>
      <c r="I116" s="212">
        <f>F116*G116*F13</f>
        <v>13702.5</v>
      </c>
      <c r="J116" s="290"/>
      <c r="L116" s="207">
        <v>5</v>
      </c>
      <c r="M116" s="208" t="s">
        <v>158</v>
      </c>
      <c r="N116" s="209"/>
      <c r="O116" s="210"/>
      <c r="P116" s="211">
        <f>F22</f>
        <v>10</v>
      </c>
      <c r="Q116" s="422">
        <f>number_medium_HCFs_large_cluster*0.25+number_large_HCFs_large_cluster</f>
        <v>0</v>
      </c>
      <c r="R116" s="211" t="s">
        <v>160</v>
      </c>
      <c r="S116" s="212">
        <f>P116*Q116*F13</f>
        <v>0</v>
      </c>
    </row>
    <row r="117" spans="2:19" ht="12.75">
      <c r="B117" s="207">
        <v>6</v>
      </c>
      <c r="C117" s="208" t="s">
        <v>329</v>
      </c>
      <c r="D117" s="209"/>
      <c r="E117" s="210"/>
      <c r="F117" s="211"/>
      <c r="G117" s="422">
        <f>maintenance_frax_cap_cost*100</f>
        <v>5</v>
      </c>
      <c r="H117" s="211" t="s">
        <v>462</v>
      </c>
      <c r="I117" s="212">
        <f>I108*maintenance_frax_cap_cost</f>
        <v>318.1862660244002</v>
      </c>
      <c r="J117" s="290"/>
      <c r="L117" s="207">
        <v>6</v>
      </c>
      <c r="M117" s="208" t="s">
        <v>329</v>
      </c>
      <c r="N117" s="209"/>
      <c r="O117" s="210"/>
      <c r="P117" s="211"/>
      <c r="Q117" s="422">
        <f>maintenance_frax_cap_cost*100</f>
        <v>5</v>
      </c>
      <c r="R117" s="211" t="s">
        <v>331</v>
      </c>
      <c r="S117" s="212">
        <f>S108*maintenance_frax_cap_cost</f>
        <v>1.0452216748768473</v>
      </c>
    </row>
    <row r="118" spans="2:19" ht="12.75">
      <c r="B118" s="207">
        <v>7</v>
      </c>
      <c r="C118" s="208" t="s">
        <v>146</v>
      </c>
      <c r="D118" s="209"/>
      <c r="E118" s="210"/>
      <c r="F118" s="211">
        <f>F25</f>
        <v>24</v>
      </c>
      <c r="G118" s="422">
        <f>number_small_HCFs_medium_cluster*F20</f>
        <v>231</v>
      </c>
      <c r="H118" s="211"/>
      <c r="I118" s="212">
        <f>F118*G118</f>
        <v>5544</v>
      </c>
      <c r="J118" s="290"/>
      <c r="L118" s="207">
        <v>7</v>
      </c>
      <c r="M118" s="208" t="s">
        <v>146</v>
      </c>
      <c r="N118" s="209"/>
      <c r="O118" s="210"/>
      <c r="P118" s="211">
        <f>F25</f>
        <v>24</v>
      </c>
      <c r="Q118" s="422">
        <f>number_small_HCFs_large_cluster*F20</f>
        <v>0</v>
      </c>
      <c r="R118" s="211"/>
      <c r="S118" s="212">
        <f>P118*Q118</f>
        <v>0</v>
      </c>
    </row>
    <row r="119" spans="2:19" ht="13.5" thickBot="1">
      <c r="B119" s="225">
        <v>8</v>
      </c>
      <c r="C119" s="214" t="s">
        <v>145</v>
      </c>
      <c r="D119" s="215"/>
      <c r="E119" s="216"/>
      <c r="F119" s="216">
        <f>F26</f>
        <v>24</v>
      </c>
      <c r="G119" s="423">
        <f>(total_beds_medium_HCFs_medium_cluster+total_beds_large_HCFs_medium_cluster)*F24</f>
        <v>262</v>
      </c>
      <c r="H119" s="217"/>
      <c r="I119" s="218">
        <f>F119*G119</f>
        <v>6288</v>
      </c>
      <c r="J119" s="290"/>
      <c r="L119" s="225">
        <v>8</v>
      </c>
      <c r="M119" s="214" t="s">
        <v>145</v>
      </c>
      <c r="N119" s="215"/>
      <c r="O119" s="216"/>
      <c r="P119" s="216">
        <f>F26</f>
        <v>24</v>
      </c>
      <c r="Q119" s="423">
        <f>(total_beds_medium_HCFs_large_cluster+total_beds_large_HCFs_large_cluster)*F24</f>
        <v>0</v>
      </c>
      <c r="R119" s="217"/>
      <c r="S119" s="218">
        <f>P119*Q119</f>
        <v>0</v>
      </c>
    </row>
    <row r="120" spans="2:19" ht="15.75" thickTop="1">
      <c r="B120" s="31"/>
      <c r="C120" s="32" t="s">
        <v>70</v>
      </c>
      <c r="D120" s="32"/>
      <c r="E120" s="32"/>
      <c r="F120" s="32"/>
      <c r="G120" s="32"/>
      <c r="H120" s="32"/>
      <c r="I120" s="62">
        <f>SUM(I112:I119)</f>
        <v>57864.6262660244</v>
      </c>
      <c r="J120" s="83"/>
      <c r="L120" s="31"/>
      <c r="M120" s="32" t="s">
        <v>51</v>
      </c>
      <c r="N120" s="32"/>
      <c r="O120" s="32"/>
      <c r="P120" s="32"/>
      <c r="Q120" s="32"/>
      <c r="R120" s="32"/>
      <c r="S120" s="62">
        <f>SUM(S112:S119)</f>
        <v>88.64522167487684</v>
      </c>
    </row>
    <row r="121" spans="2:19" ht="15">
      <c r="B121" s="31"/>
      <c r="C121" s="32" t="s">
        <v>71</v>
      </c>
      <c r="D121" s="32"/>
      <c r="E121" s="32"/>
      <c r="F121" s="32"/>
      <c r="G121" s="32"/>
      <c r="H121" s="32"/>
      <c r="I121" s="62">
        <f>I120*number_medium_clusters</f>
        <v>57864.6262660244</v>
      </c>
      <c r="J121" s="83"/>
      <c r="L121" s="31"/>
      <c r="M121" s="32" t="s">
        <v>52</v>
      </c>
      <c r="N121" s="32"/>
      <c r="O121" s="32"/>
      <c r="P121" s="32"/>
      <c r="Q121" s="32"/>
      <c r="R121" s="32"/>
      <c r="S121" s="62">
        <f>S120*number_large_clusters</f>
        <v>0</v>
      </c>
    </row>
    <row r="122" spans="2:19" s="89" customFormat="1" ht="15">
      <c r="B122" s="278" t="s">
        <v>72</v>
      </c>
      <c r="C122" s="279"/>
      <c r="D122" s="280"/>
      <c r="E122" s="280"/>
      <c r="F122" s="280"/>
      <c r="G122" s="280"/>
      <c r="H122" s="280"/>
      <c r="I122" s="281"/>
      <c r="J122" s="282"/>
      <c r="L122" s="278" t="s">
        <v>72</v>
      </c>
      <c r="M122" s="279"/>
      <c r="N122" s="280"/>
      <c r="O122" s="280"/>
      <c r="P122" s="280"/>
      <c r="Q122" s="280"/>
      <c r="R122" s="280"/>
      <c r="S122" s="281"/>
    </row>
    <row r="123" spans="2:19" ht="14.25">
      <c r="B123" s="283" t="s">
        <v>263</v>
      </c>
      <c r="C123" s="284" t="s">
        <v>306</v>
      </c>
      <c r="D123" s="285"/>
      <c r="E123" s="286"/>
      <c r="F123" s="287" t="s">
        <v>307</v>
      </c>
      <c r="G123" s="428" t="s">
        <v>308</v>
      </c>
      <c r="H123" s="428" t="s">
        <v>309</v>
      </c>
      <c r="I123" s="288" t="s">
        <v>310</v>
      </c>
      <c r="J123" s="289"/>
      <c r="L123" s="283" t="s">
        <v>263</v>
      </c>
      <c r="M123" s="284" t="s">
        <v>306</v>
      </c>
      <c r="N123" s="285"/>
      <c r="O123" s="286"/>
      <c r="P123" s="287" t="s">
        <v>307</v>
      </c>
      <c r="Q123" s="428" t="s">
        <v>308</v>
      </c>
      <c r="R123" s="428" t="s">
        <v>309</v>
      </c>
      <c r="S123" s="288" t="s">
        <v>310</v>
      </c>
    </row>
    <row r="124" spans="2:19" ht="12.75">
      <c r="B124" s="207">
        <v>1</v>
      </c>
      <c r="C124" s="208" t="s">
        <v>167</v>
      </c>
      <c r="D124" s="209"/>
      <c r="E124" s="210"/>
      <c r="F124" s="211">
        <f>cost_incinerator_50kg_per_hr</f>
        <v>37500</v>
      </c>
      <c r="G124" s="422">
        <f>TRUNC(G38/50/F19/7)+1</f>
        <v>1</v>
      </c>
      <c r="H124" s="422">
        <f>life_incinerator_50kg_per_hr</f>
        <v>10</v>
      </c>
      <c r="I124" s="212">
        <f>((F124*discount_rate)/(1-(1/(1+discount_rate)^H124)))*G124</f>
        <v>4396.143997693485</v>
      </c>
      <c r="J124" s="290"/>
      <c r="L124" s="207">
        <v>1</v>
      </c>
      <c r="M124" s="208" t="s">
        <v>55</v>
      </c>
      <c r="N124" s="209"/>
      <c r="O124" s="210"/>
      <c r="P124" s="211">
        <f>cost_incinerator_350kg_per_hr</f>
        <v>200000</v>
      </c>
      <c r="Q124" s="422">
        <f>TRUNC(Q38/350/F19/7)+1</f>
        <v>1</v>
      </c>
      <c r="R124" s="422">
        <f>life_incinerator_350kg_per_hr</f>
        <v>10</v>
      </c>
      <c r="S124" s="212">
        <f>((P124*discount_rate)/(1-(1/(1+discount_rate)^R124)))*Q124</f>
        <v>23446.101321031925</v>
      </c>
    </row>
    <row r="125" spans="2:19" ht="12.75">
      <c r="B125" s="207">
        <v>2</v>
      </c>
      <c r="C125" s="208" t="s">
        <v>104</v>
      </c>
      <c r="D125" s="209"/>
      <c r="E125" s="210"/>
      <c r="F125" s="211">
        <f>F124</f>
        <v>37500</v>
      </c>
      <c r="G125" s="422">
        <f>G124</f>
        <v>1</v>
      </c>
      <c r="H125" s="422">
        <f>H124</f>
        <v>10</v>
      </c>
      <c r="I125" s="212">
        <f>((F125*discount_rate)/(1-(1/(1+discount_rate)^H125)))*G125</f>
        <v>4396.143997693485</v>
      </c>
      <c r="J125" s="290"/>
      <c r="L125" s="207">
        <v>2</v>
      </c>
      <c r="M125" s="208" t="s">
        <v>56</v>
      </c>
      <c r="N125" s="209"/>
      <c r="O125" s="210"/>
      <c r="P125" s="211">
        <f>cost_air_pollution_control_large_incinerator</f>
        <v>286000</v>
      </c>
      <c r="Q125" s="422">
        <f>Q124</f>
        <v>1</v>
      </c>
      <c r="R125" s="422">
        <f>life_air_pollution_control_large_incinerator</f>
        <v>10</v>
      </c>
      <c r="S125" s="212">
        <f>((P125*discount_rate)/(1-(1/(1+discount_rate)^R125)))*Q125</f>
        <v>33527.92488907565</v>
      </c>
    </row>
    <row r="126" spans="2:19" ht="12.75">
      <c r="B126" s="207">
        <v>3</v>
      </c>
      <c r="C126" s="208" t="s">
        <v>53</v>
      </c>
      <c r="D126" s="209"/>
      <c r="E126" s="210"/>
      <c r="F126" s="211"/>
      <c r="G126" s="422">
        <v>0.15</v>
      </c>
      <c r="H126" s="422" t="s">
        <v>442</v>
      </c>
      <c r="I126" s="212">
        <f>G126*F124</f>
        <v>5625</v>
      </c>
      <c r="J126" s="290"/>
      <c r="L126" s="207">
        <v>3</v>
      </c>
      <c r="M126" s="208" t="s">
        <v>53</v>
      </c>
      <c r="N126" s="209"/>
      <c r="O126" s="210"/>
      <c r="P126" s="211"/>
      <c r="Q126" s="422">
        <v>0.15</v>
      </c>
      <c r="R126" s="422" t="s">
        <v>58</v>
      </c>
      <c r="S126" s="212">
        <f>Q126*P124</f>
        <v>30000</v>
      </c>
    </row>
    <row r="127" spans="2:19" ht="12.75">
      <c r="B127" s="207">
        <v>4</v>
      </c>
      <c r="C127" s="208" t="s">
        <v>77</v>
      </c>
      <c r="D127" s="209"/>
      <c r="E127" s="210"/>
      <c r="F127" s="211">
        <f>cost_transport_vehicle</f>
        <v>40000</v>
      </c>
      <c r="G127" s="422">
        <f>TRUNC(G40/5000)+1</f>
        <v>1</v>
      </c>
      <c r="H127" s="422">
        <f>life_transport_vehicle</f>
        <v>5</v>
      </c>
      <c r="I127" s="212">
        <f>((F127*discount_rate)/(1-(1/(1+discount_rate)^H127)))*G127</f>
        <v>8734.182856023048</v>
      </c>
      <c r="J127" s="290"/>
      <c r="L127" s="207">
        <v>4</v>
      </c>
      <c r="M127" s="208" t="s">
        <v>77</v>
      </c>
      <c r="N127" s="209"/>
      <c r="O127" s="210"/>
      <c r="P127" s="211">
        <f>cost_transport_vehicle</f>
        <v>40000</v>
      </c>
      <c r="Q127" s="422">
        <f>TRUNC(Q40/5000)+1</f>
        <v>1</v>
      </c>
      <c r="R127" s="422">
        <f>life_transport_vehicle</f>
        <v>5</v>
      </c>
      <c r="S127" s="212">
        <f>((P127*discount_rate)/(1-(1/(1+discount_rate)^R127)))*Q127</f>
        <v>8734.182856023048</v>
      </c>
    </row>
    <row r="128" spans="2:19" ht="12.75">
      <c r="B128" s="207">
        <v>5</v>
      </c>
      <c r="C128" s="208" t="s">
        <v>54</v>
      </c>
      <c r="D128" s="209"/>
      <c r="E128" s="210"/>
      <c r="F128" s="211">
        <f>F29</f>
        <v>7000</v>
      </c>
      <c r="G128" s="422">
        <v>1</v>
      </c>
      <c r="H128" s="422">
        <v>10</v>
      </c>
      <c r="I128" s="212">
        <f>((F128*discount_rate)/(1-(1/(1+discount_rate)^H128)))*G128</f>
        <v>820.6135462361174</v>
      </c>
      <c r="J128" s="290"/>
      <c r="L128" s="207">
        <v>5</v>
      </c>
      <c r="M128" s="208" t="s">
        <v>78</v>
      </c>
      <c r="N128" s="209"/>
      <c r="O128" s="210"/>
      <c r="P128" s="211">
        <f>F30</f>
        <v>15000</v>
      </c>
      <c r="Q128" s="422">
        <v>1</v>
      </c>
      <c r="R128" s="422">
        <v>10</v>
      </c>
      <c r="S128" s="212">
        <f>((P128*discount_rate)/(1-(1/(1+discount_rate)^R128)))*Q128</f>
        <v>1758.4575990773942</v>
      </c>
    </row>
    <row r="129" spans="2:19" ht="13.5" thickBot="1">
      <c r="B129" s="225">
        <v>6</v>
      </c>
      <c r="C129" s="214" t="s">
        <v>103</v>
      </c>
      <c r="D129" s="215"/>
      <c r="E129" s="216"/>
      <c r="F129" s="216">
        <f>cost_very_large_ash_pit</f>
        <v>500</v>
      </c>
      <c r="G129" s="423">
        <v>1</v>
      </c>
      <c r="H129" s="423">
        <f>life_very_large_ash_pit</f>
        <v>2</v>
      </c>
      <c r="I129" s="218">
        <f>((F129*discount_rate)/(1-(1/(1+discount_rate)^H129)))*G129</f>
        <v>261.3054187192118</v>
      </c>
      <c r="J129" s="290"/>
      <c r="L129" s="225">
        <v>6</v>
      </c>
      <c r="M129" s="214" t="s">
        <v>103</v>
      </c>
      <c r="N129" s="215"/>
      <c r="O129" s="216"/>
      <c r="P129" s="216">
        <f>cost_very_large_ash_pit</f>
        <v>500</v>
      </c>
      <c r="Q129" s="423">
        <v>1</v>
      </c>
      <c r="R129" s="423">
        <f>life_very_large_ash_pit/2</f>
        <v>1</v>
      </c>
      <c r="S129" s="218">
        <f>((P129*discount_rate)/(1-(1/(1+discount_rate)^R129)))*Q129</f>
        <v>515.0000000000002</v>
      </c>
    </row>
    <row r="130" spans="2:19" ht="15.75" thickTop="1">
      <c r="B130" s="31"/>
      <c r="C130" s="32" t="s">
        <v>80</v>
      </c>
      <c r="D130" s="32"/>
      <c r="E130" s="32"/>
      <c r="F130" s="32"/>
      <c r="G130" s="32"/>
      <c r="H130" s="32"/>
      <c r="I130" s="62">
        <f>SUM(I124:I129)</f>
        <v>24233.389816365347</v>
      </c>
      <c r="J130" s="83"/>
      <c r="L130" s="31"/>
      <c r="M130" s="32" t="s">
        <v>46</v>
      </c>
      <c r="N130" s="32"/>
      <c r="O130" s="32"/>
      <c r="P130" s="32"/>
      <c r="Q130" s="32"/>
      <c r="R130" s="32"/>
      <c r="S130" s="62">
        <f>SUM(S124:S129)</f>
        <v>97981.66666520802</v>
      </c>
    </row>
    <row r="131" spans="2:19" ht="15">
      <c r="B131" s="31"/>
      <c r="C131" s="32" t="s">
        <v>81</v>
      </c>
      <c r="D131" s="32"/>
      <c r="E131" s="32"/>
      <c r="F131" s="32"/>
      <c r="G131" s="32"/>
      <c r="H131" s="32"/>
      <c r="I131" s="62">
        <f>I130*number_medium_clusters</f>
        <v>24233.389816365347</v>
      </c>
      <c r="J131" s="83"/>
      <c r="L131" s="31"/>
      <c r="M131" s="32" t="s">
        <v>47</v>
      </c>
      <c r="N131" s="32"/>
      <c r="O131" s="32"/>
      <c r="P131" s="32"/>
      <c r="Q131" s="32"/>
      <c r="R131" s="32"/>
      <c r="S131" s="62">
        <f>S130*number_large_clusters</f>
        <v>0</v>
      </c>
    </row>
    <row r="132" spans="2:19" ht="15.75">
      <c r="B132" s="278" t="s">
        <v>73</v>
      </c>
      <c r="C132" s="279"/>
      <c r="D132" s="280"/>
      <c r="E132" s="280"/>
      <c r="F132" s="296"/>
      <c r="G132" s="296"/>
      <c r="H132" s="296"/>
      <c r="I132" s="297"/>
      <c r="J132" s="83"/>
      <c r="L132" s="278" t="s">
        <v>73</v>
      </c>
      <c r="M132" s="279"/>
      <c r="N132" s="280"/>
      <c r="O132" s="280"/>
      <c r="P132" s="280"/>
      <c r="Q132" s="296"/>
      <c r="R132" s="296"/>
      <c r="S132" s="297"/>
    </row>
    <row r="133" spans="2:19" ht="14.25">
      <c r="B133" s="283" t="s">
        <v>263</v>
      </c>
      <c r="C133" s="284" t="s">
        <v>306</v>
      </c>
      <c r="D133" s="285"/>
      <c r="E133" s="286"/>
      <c r="F133" s="287" t="s">
        <v>307</v>
      </c>
      <c r="G133" s="428" t="s">
        <v>308</v>
      </c>
      <c r="H133" s="287" t="s">
        <v>168</v>
      </c>
      <c r="I133" s="288" t="s">
        <v>310</v>
      </c>
      <c r="J133" s="289"/>
      <c r="L133" s="283" t="s">
        <v>263</v>
      </c>
      <c r="M133" s="284" t="s">
        <v>306</v>
      </c>
      <c r="N133" s="285"/>
      <c r="O133" s="286"/>
      <c r="P133" s="287" t="s">
        <v>307</v>
      </c>
      <c r="Q133" s="428" t="s">
        <v>308</v>
      </c>
      <c r="R133" s="287" t="s">
        <v>168</v>
      </c>
      <c r="S133" s="288" t="s">
        <v>310</v>
      </c>
    </row>
    <row r="134" spans="2:19" ht="12.75">
      <c r="B134" s="207">
        <v>1</v>
      </c>
      <c r="C134" s="208" t="s">
        <v>156</v>
      </c>
      <c r="D134" s="209"/>
      <c r="E134" s="210"/>
      <c r="F134" s="211">
        <f>F18</f>
        <v>3</v>
      </c>
      <c r="G134" s="422">
        <f>(F19*F31)+1</f>
        <v>3</v>
      </c>
      <c r="H134" s="211"/>
      <c r="I134" s="212">
        <f>F134*G134*F13</f>
        <v>2349</v>
      </c>
      <c r="J134" s="290"/>
      <c r="L134" s="207">
        <v>1</v>
      </c>
      <c r="M134" s="208" t="s">
        <v>156</v>
      </c>
      <c r="N134" s="209"/>
      <c r="O134" s="210"/>
      <c r="P134" s="211">
        <f>F18</f>
        <v>3</v>
      </c>
      <c r="Q134" s="422">
        <f>2*((F19*F31)+1)</f>
        <v>6</v>
      </c>
      <c r="R134" s="211"/>
      <c r="S134" s="212">
        <f>P134*Q134*F13</f>
        <v>4698</v>
      </c>
    </row>
    <row r="135" spans="2:19" ht="12.75">
      <c r="B135" s="207">
        <v>2</v>
      </c>
      <c r="C135" s="208" t="s">
        <v>102</v>
      </c>
      <c r="D135" s="209"/>
      <c r="E135" s="210"/>
      <c r="F135" s="211">
        <f>F22</f>
        <v>10</v>
      </c>
      <c r="G135" s="422">
        <v>1</v>
      </c>
      <c r="H135" s="211" t="s">
        <v>160</v>
      </c>
      <c r="I135" s="212">
        <f>F135*G135*F13</f>
        <v>2610</v>
      </c>
      <c r="J135" s="290"/>
      <c r="L135" s="207">
        <v>2</v>
      </c>
      <c r="M135" s="208" t="s">
        <v>102</v>
      </c>
      <c r="N135" s="209"/>
      <c r="O135" s="210"/>
      <c r="P135" s="211">
        <f>F22</f>
        <v>10</v>
      </c>
      <c r="Q135" s="422">
        <v>1</v>
      </c>
      <c r="R135" s="211" t="s">
        <v>160</v>
      </c>
      <c r="S135" s="212">
        <f>P135*Q135*F13</f>
        <v>2610</v>
      </c>
    </row>
    <row r="136" spans="2:19" ht="12.75">
      <c r="B136" s="207">
        <v>3</v>
      </c>
      <c r="C136" s="208" t="s">
        <v>91</v>
      </c>
      <c r="D136" s="209"/>
      <c r="E136" s="210"/>
      <c r="F136" s="211">
        <f>F32</f>
        <v>23</v>
      </c>
      <c r="G136" s="422">
        <f>G127</f>
        <v>1</v>
      </c>
      <c r="H136" s="211"/>
      <c r="I136" s="212">
        <f>F136*G136*F13</f>
        <v>6003</v>
      </c>
      <c r="J136" s="290"/>
      <c r="L136" s="207">
        <v>3</v>
      </c>
      <c r="M136" s="208" t="s">
        <v>91</v>
      </c>
      <c r="N136" s="209"/>
      <c r="O136" s="210"/>
      <c r="P136" s="211">
        <f>F32</f>
        <v>23</v>
      </c>
      <c r="Q136" s="422">
        <f>Q127</f>
        <v>1</v>
      </c>
      <c r="R136" s="211"/>
      <c r="S136" s="212">
        <f>P136*Q136*F13</f>
        <v>6003</v>
      </c>
    </row>
    <row r="137" spans="2:19" ht="12.75">
      <c r="B137" s="207">
        <v>4</v>
      </c>
      <c r="C137" s="208" t="s">
        <v>329</v>
      </c>
      <c r="D137" s="209"/>
      <c r="E137" s="210"/>
      <c r="F137" s="211"/>
      <c r="G137" s="422">
        <f>maintenance_frax_cap_cost*100</f>
        <v>5</v>
      </c>
      <c r="H137" s="211" t="s">
        <v>462</v>
      </c>
      <c r="I137" s="212">
        <f>I130*maintenance_frax_cap_cost</f>
        <v>1211.6694908182674</v>
      </c>
      <c r="J137" s="290"/>
      <c r="L137" s="207">
        <v>4</v>
      </c>
      <c r="M137" s="208" t="s">
        <v>329</v>
      </c>
      <c r="N137" s="209"/>
      <c r="O137" s="210"/>
      <c r="P137" s="211"/>
      <c r="Q137" s="422">
        <f>maintenance_frax_cap_cost*100</f>
        <v>5</v>
      </c>
      <c r="R137" s="211" t="s">
        <v>331</v>
      </c>
      <c r="S137" s="212">
        <f>S130*maintenance_frax_cap_cost</f>
        <v>4899.083333260401</v>
      </c>
    </row>
    <row r="138" spans="2:19" ht="12.75">
      <c r="B138" s="207">
        <v>5</v>
      </c>
      <c r="C138" s="208" t="s">
        <v>210</v>
      </c>
      <c r="D138" s="209"/>
      <c r="E138" s="210"/>
      <c r="F138" s="211">
        <f>cost_fuel_1Ldiesel</f>
        <v>0.8</v>
      </c>
      <c r="G138" s="424">
        <f>0.5*total_kg_per_day_medium_cluster/50*F13</f>
        <v>884.7900000000001</v>
      </c>
      <c r="H138" s="211"/>
      <c r="I138" s="212">
        <f>F138*G138</f>
        <v>707.8320000000001</v>
      </c>
      <c r="J138" s="290"/>
      <c r="L138" s="207">
        <v>5</v>
      </c>
      <c r="M138" s="208" t="s">
        <v>210</v>
      </c>
      <c r="N138" s="209"/>
      <c r="O138" s="210"/>
      <c r="P138" s="211">
        <f>cost_fuel_1Ldiesel</f>
        <v>0.8</v>
      </c>
      <c r="Q138" s="424">
        <f>0.5*total_kg_per_day_large_cluster/350*F106</f>
        <v>0</v>
      </c>
      <c r="R138" s="211"/>
      <c r="S138" s="212">
        <f>P138*Q138</f>
        <v>0</v>
      </c>
    </row>
    <row r="139" spans="2:19" ht="12.75">
      <c r="B139" s="261">
        <v>6</v>
      </c>
      <c r="C139" s="483" t="s">
        <v>59</v>
      </c>
      <c r="D139" s="262"/>
      <c r="E139" s="219"/>
      <c r="F139" s="219"/>
      <c r="G139" s="484">
        <v>5</v>
      </c>
      <c r="H139" s="211" t="s">
        <v>462</v>
      </c>
      <c r="I139" s="485">
        <f>G139/100*F125</f>
        <v>1875</v>
      </c>
      <c r="J139" s="290"/>
      <c r="L139" s="207">
        <v>6</v>
      </c>
      <c r="M139" s="208" t="s">
        <v>59</v>
      </c>
      <c r="N139" s="209"/>
      <c r="O139" s="210"/>
      <c r="P139" s="211">
        <f>annual_cost_air_pollution_control_large_incinerator</f>
        <v>83100</v>
      </c>
      <c r="Q139" s="422">
        <f>Q124</f>
        <v>1</v>
      </c>
      <c r="R139" s="211"/>
      <c r="S139" s="212">
        <f>P139*Q139</f>
        <v>83100</v>
      </c>
    </row>
    <row r="140" spans="2:19" ht="13.5" thickBot="1">
      <c r="B140" s="225">
        <v>6</v>
      </c>
      <c r="C140" s="214" t="s">
        <v>96</v>
      </c>
      <c r="D140" s="215"/>
      <c r="E140" s="216"/>
      <c r="F140" s="216">
        <f>F25</f>
        <v>24</v>
      </c>
      <c r="G140" s="423">
        <f>(G134+G135)*F140*2</f>
        <v>192</v>
      </c>
      <c r="H140" s="217"/>
      <c r="I140" s="218">
        <f>F140*G140</f>
        <v>4608</v>
      </c>
      <c r="J140" s="290"/>
      <c r="L140" s="225">
        <v>7</v>
      </c>
      <c r="M140" s="214" t="s">
        <v>96</v>
      </c>
      <c r="N140" s="215"/>
      <c r="O140" s="216"/>
      <c r="P140" s="216">
        <f>F25</f>
        <v>24</v>
      </c>
      <c r="Q140" s="423">
        <f>(Q134+Q135)*P140*2</f>
        <v>336</v>
      </c>
      <c r="R140" s="217"/>
      <c r="S140" s="218">
        <f>P140*Q140</f>
        <v>8064</v>
      </c>
    </row>
    <row r="141" spans="2:19" ht="15.75" thickTop="1">
      <c r="B141" s="31"/>
      <c r="C141" s="32" t="s">
        <v>98</v>
      </c>
      <c r="D141" s="32"/>
      <c r="E141" s="32"/>
      <c r="F141" s="32"/>
      <c r="G141" s="32"/>
      <c r="H141" s="32"/>
      <c r="I141" s="62">
        <f>SUM(I134:I140)</f>
        <v>19364.501490818267</v>
      </c>
      <c r="J141" s="83"/>
      <c r="L141" s="31"/>
      <c r="M141" s="32" t="s">
        <v>49</v>
      </c>
      <c r="N141" s="32"/>
      <c r="O141" s="32"/>
      <c r="P141" s="32"/>
      <c r="Q141" s="32"/>
      <c r="R141" s="32"/>
      <c r="S141" s="62">
        <f>SUM(S134:S140)</f>
        <v>109374.08333326041</v>
      </c>
    </row>
    <row r="142" spans="2:19" ht="15.75" thickBot="1">
      <c r="B142" s="34"/>
      <c r="C142" s="35" t="s">
        <v>99</v>
      </c>
      <c r="D142" s="35"/>
      <c r="E142" s="35"/>
      <c r="F142" s="35"/>
      <c r="G142" s="35"/>
      <c r="H142" s="35"/>
      <c r="I142" s="67">
        <f>I141*number_medium_clusters</f>
        <v>19364.501490818267</v>
      </c>
      <c r="J142" s="83"/>
      <c r="L142" s="34"/>
      <c r="M142" s="35" t="s">
        <v>50</v>
      </c>
      <c r="N142" s="35"/>
      <c r="O142" s="35"/>
      <c r="P142" s="35"/>
      <c r="Q142" s="35"/>
      <c r="R142" s="35"/>
      <c r="S142" s="67">
        <f>S141*number_large_clusters</f>
        <v>0</v>
      </c>
    </row>
  </sheetData>
  <printOptions/>
  <pageMargins left="0.5" right="0.5" top="0.5" bottom="0.5" header="0.5" footer="0.5"/>
  <pageSetup orientation="portrait" r:id="rId1"/>
  <ignoredErrors>
    <ignoredError sqref="I76 G40 I126 I139 S126 S76 Q40" formula="1"/>
  </ignoredErrors>
</worksheet>
</file>

<file path=xl/worksheets/sheet9.xml><?xml version="1.0" encoding="utf-8"?>
<worksheet xmlns="http://schemas.openxmlformats.org/spreadsheetml/2006/main" xmlns:r="http://schemas.openxmlformats.org/officeDocument/2006/relationships">
  <dimension ref="A1:J41"/>
  <sheetViews>
    <sheetView workbookViewId="0" topLeftCell="A1">
      <selection activeCell="A1" sqref="A1"/>
    </sheetView>
  </sheetViews>
  <sheetFormatPr defaultColWidth="9.140625" defaultRowHeight="12.75"/>
  <cols>
    <col min="1" max="1" width="2.28125" style="86" customWidth="1"/>
    <col min="2" max="4" width="8.8515625" style="86" customWidth="1"/>
    <col min="5" max="5" width="10.28125" style="86" customWidth="1"/>
    <col min="6" max="6" width="16.8515625" style="86" customWidth="1"/>
    <col min="7" max="7" width="14.28125" style="86" bestFit="1" customWidth="1"/>
    <col min="8" max="8" width="12.28125" style="86" customWidth="1"/>
    <col min="9" max="9" width="13.421875" style="178" customWidth="1"/>
    <col min="10" max="16384" width="8.8515625" style="86" customWidth="1"/>
  </cols>
  <sheetData>
    <row r="1" s="84" customFormat="1" ht="13.5" thickBot="1">
      <c r="I1" s="177"/>
    </row>
    <row r="2" spans="1:9" s="103" customFormat="1" ht="18.75" thickBot="1">
      <c r="A2" s="102" t="s">
        <v>175</v>
      </c>
      <c r="I2" s="110"/>
    </row>
    <row r="3" ht="13.5" thickBot="1"/>
    <row r="4" spans="1:9" s="105" customFormat="1" ht="17.25" thickBot="1">
      <c r="A4" s="104" t="s">
        <v>261</v>
      </c>
      <c r="I4" s="111"/>
    </row>
    <row r="5" s="107" customFormat="1" ht="17.25" thickBot="1">
      <c r="I5" s="112"/>
    </row>
    <row r="6" spans="1:10" ht="15.75">
      <c r="A6" s="298"/>
      <c r="B6" s="179" t="s">
        <v>306</v>
      </c>
      <c r="C6" s="57"/>
      <c r="D6" s="58"/>
      <c r="E6" s="180" t="s">
        <v>256</v>
      </c>
      <c r="F6" s="180" t="s">
        <v>257</v>
      </c>
      <c r="G6" s="181" t="s">
        <v>179</v>
      </c>
      <c r="J6" s="1"/>
    </row>
    <row r="7" spans="2:10" ht="15.75">
      <c r="B7" s="223" t="s">
        <v>178</v>
      </c>
      <c r="C7" s="209"/>
      <c r="D7" s="210"/>
      <c r="E7" s="407">
        <v>10000</v>
      </c>
      <c r="F7" s="227" t="s">
        <v>287</v>
      </c>
      <c r="G7" s="431">
        <v>10</v>
      </c>
      <c r="J7" s="2"/>
    </row>
    <row r="8" spans="2:10" ht="16.5" thickBot="1">
      <c r="B8" s="207" t="s">
        <v>181</v>
      </c>
      <c r="C8" s="210"/>
      <c r="D8" s="210"/>
      <c r="E8" s="407">
        <v>10</v>
      </c>
      <c r="F8" s="227" t="s">
        <v>180</v>
      </c>
      <c r="G8" s="431">
        <v>5</v>
      </c>
      <c r="J8" s="2"/>
    </row>
    <row r="9" spans="2:10" ht="15.75">
      <c r="B9" s="179" t="s">
        <v>306</v>
      </c>
      <c r="C9" s="57"/>
      <c r="D9" s="58"/>
      <c r="E9" s="180" t="s">
        <v>256</v>
      </c>
      <c r="F9" s="180" t="s">
        <v>257</v>
      </c>
      <c r="G9" s="181" t="s">
        <v>290</v>
      </c>
      <c r="J9" s="2"/>
    </row>
    <row r="10" spans="2:10" ht="15.75">
      <c r="B10" s="223" t="s">
        <v>176</v>
      </c>
      <c r="C10" s="209"/>
      <c r="D10" s="210"/>
      <c r="E10" s="534">
        <v>4130</v>
      </c>
      <c r="F10" s="227" t="s">
        <v>177</v>
      </c>
      <c r="G10" s="228">
        <v>6000</v>
      </c>
      <c r="J10" s="2"/>
    </row>
    <row r="11" spans="2:10" ht="15.75">
      <c r="B11" s="207" t="s">
        <v>188</v>
      </c>
      <c r="C11" s="210"/>
      <c r="D11" s="210"/>
      <c r="E11" s="407">
        <v>3</v>
      </c>
      <c r="F11" s="227" t="s">
        <v>267</v>
      </c>
      <c r="G11" s="228">
        <v>3</v>
      </c>
      <c r="J11" s="2"/>
    </row>
    <row r="12" spans="2:10" ht="15.75">
      <c r="B12" s="207" t="s">
        <v>189</v>
      </c>
      <c r="C12" s="210"/>
      <c r="D12" s="210"/>
      <c r="E12" s="407">
        <f>TRUNC((total_beds_national+number_small_HCFs)/20000)</f>
        <v>0</v>
      </c>
      <c r="F12" s="227" t="s">
        <v>191</v>
      </c>
      <c r="G12" s="228">
        <f>TRUNC((total_beds_national+number_small_HCFs)/20000)</f>
        <v>0</v>
      </c>
      <c r="J12" s="2"/>
    </row>
    <row r="13" spans="2:7" ht="12.75">
      <c r="B13" s="207" t="s">
        <v>201</v>
      </c>
      <c r="C13" s="210"/>
      <c r="D13" s="210"/>
      <c r="E13" s="407">
        <v>100</v>
      </c>
      <c r="F13" s="227" t="s">
        <v>182</v>
      </c>
      <c r="G13" s="228">
        <v>100</v>
      </c>
    </row>
    <row r="14" spans="2:10" ht="15.75">
      <c r="B14" s="207" t="s">
        <v>183</v>
      </c>
      <c r="C14" s="210"/>
      <c r="D14" s="210"/>
      <c r="E14" s="407">
        <v>0.002</v>
      </c>
      <c r="F14" s="227" t="s">
        <v>190</v>
      </c>
      <c r="G14" s="228">
        <f>40/20000</f>
        <v>0.002</v>
      </c>
      <c r="J14" s="2"/>
    </row>
    <row r="15" spans="2:10" ht="15.75">
      <c r="B15" s="207" t="s">
        <v>184</v>
      </c>
      <c r="C15" s="210"/>
      <c r="D15" s="210"/>
      <c r="E15" s="407">
        <v>40</v>
      </c>
      <c r="F15" s="227" t="s">
        <v>185</v>
      </c>
      <c r="G15" s="228">
        <v>40</v>
      </c>
      <c r="J15" s="2"/>
    </row>
    <row r="16" spans="2:10" ht="16.5" thickBot="1">
      <c r="B16" s="230" t="s">
        <v>186</v>
      </c>
      <c r="C16" s="231"/>
      <c r="D16" s="231"/>
      <c r="E16" s="415">
        <v>500</v>
      </c>
      <c r="F16" s="232" t="s">
        <v>187</v>
      </c>
      <c r="G16" s="233">
        <v>500</v>
      </c>
      <c r="J16" s="2"/>
    </row>
    <row r="17" ht="16.5" thickBot="1">
      <c r="J17" s="2"/>
    </row>
    <row r="18" spans="1:10" s="105" customFormat="1" ht="17.25" thickBot="1">
      <c r="A18" s="104" t="s">
        <v>224</v>
      </c>
      <c r="I18" s="111"/>
      <c r="J18" s="106"/>
    </row>
    <row r="19" spans="2:10" s="107" customFormat="1" ht="17.25" thickBot="1">
      <c r="B19" s="108"/>
      <c r="C19" s="108"/>
      <c r="D19" s="108"/>
      <c r="E19" s="108"/>
      <c r="F19" s="108"/>
      <c r="G19" s="108"/>
      <c r="I19" s="112"/>
      <c r="J19" s="109"/>
    </row>
    <row r="20" spans="2:10" s="89" customFormat="1" ht="15.75">
      <c r="B20" s="299" t="s">
        <v>306</v>
      </c>
      <c r="C20" s="98"/>
      <c r="D20" s="98"/>
      <c r="E20" s="300"/>
      <c r="F20" s="300"/>
      <c r="G20" s="301" t="s">
        <v>256</v>
      </c>
      <c r="I20" s="119"/>
      <c r="J20" s="1"/>
    </row>
    <row r="21" spans="2:10" ht="15.75">
      <c r="B21" s="223" t="s">
        <v>193</v>
      </c>
      <c r="C21" s="209"/>
      <c r="D21" s="209"/>
      <c r="E21" s="209"/>
      <c r="F21" s="302"/>
      <c r="G21" s="228">
        <f>number_small_HCFs</f>
        <v>452</v>
      </c>
      <c r="J21" s="1"/>
    </row>
    <row r="22" spans="2:10" ht="15.75">
      <c r="B22" s="223" t="s">
        <v>194</v>
      </c>
      <c r="C22" s="209"/>
      <c r="D22" s="209"/>
      <c r="E22" s="209"/>
      <c r="F22" s="302"/>
      <c r="G22" s="228">
        <f>number_medium_HCFs*5</f>
        <v>95</v>
      </c>
      <c r="J22" s="1"/>
    </row>
    <row r="23" spans="2:10" ht="15.75">
      <c r="B23" s="223" t="s">
        <v>195</v>
      </c>
      <c r="C23" s="209"/>
      <c r="D23" s="209"/>
      <c r="E23" s="209"/>
      <c r="F23" s="302"/>
      <c r="G23" s="228">
        <f>number_large_A_HCFs*20</f>
        <v>160</v>
      </c>
      <c r="J23" s="1"/>
    </row>
    <row r="24" spans="2:10" ht="16.5" thickBot="1">
      <c r="B24" s="271" t="s">
        <v>196</v>
      </c>
      <c r="C24" s="272"/>
      <c r="D24" s="272"/>
      <c r="E24" s="272"/>
      <c r="F24" s="303"/>
      <c r="G24" s="233">
        <f>number_large_B_HCFs*20</f>
        <v>0</v>
      </c>
      <c r="J24" s="1"/>
    </row>
    <row r="25" ht="16.5" thickBot="1">
      <c r="J25" s="1"/>
    </row>
    <row r="26" spans="2:9" s="89" customFormat="1" ht="15">
      <c r="B26" s="171" t="s">
        <v>262</v>
      </c>
      <c r="C26" s="172"/>
      <c r="D26" s="172"/>
      <c r="E26" s="172"/>
      <c r="F26" s="172"/>
      <c r="G26" s="172"/>
      <c r="H26" s="172"/>
      <c r="I26" s="173"/>
    </row>
    <row r="27" spans="2:9" ht="12.75">
      <c r="B27" s="304" t="s">
        <v>263</v>
      </c>
      <c r="C27" s="305" t="s">
        <v>306</v>
      </c>
      <c r="D27" s="305"/>
      <c r="E27" s="305"/>
      <c r="F27" s="434" t="s">
        <v>307</v>
      </c>
      <c r="G27" s="432" t="s">
        <v>308</v>
      </c>
      <c r="H27" s="432" t="s">
        <v>309</v>
      </c>
      <c r="I27" s="307" t="s">
        <v>310</v>
      </c>
    </row>
    <row r="28" spans="2:9" ht="12.75">
      <c r="B28" s="207">
        <v>1</v>
      </c>
      <c r="C28" s="208" t="s">
        <v>197</v>
      </c>
      <c r="D28" s="209"/>
      <c r="E28" s="210"/>
      <c r="F28" s="308">
        <f>E7</f>
        <v>10000</v>
      </c>
      <c r="G28" s="422">
        <v>1</v>
      </c>
      <c r="H28" s="422">
        <f>G7</f>
        <v>10</v>
      </c>
      <c r="I28" s="212">
        <f>((F28*discount_rate)/(1-(1/(1+discount_rate)^H28)))*G28</f>
        <v>1172.3050660515962</v>
      </c>
    </row>
    <row r="29" spans="2:9" ht="13.5" thickBot="1">
      <c r="B29" s="225">
        <v>2</v>
      </c>
      <c r="C29" s="214" t="s">
        <v>198</v>
      </c>
      <c r="D29" s="215"/>
      <c r="E29" s="216"/>
      <c r="F29" s="429">
        <f>E8</f>
        <v>10</v>
      </c>
      <c r="G29" s="423">
        <f>SUM(G21:G24)</f>
        <v>707</v>
      </c>
      <c r="H29" s="433">
        <f>G8</f>
        <v>5</v>
      </c>
      <c r="I29" s="309">
        <f>((F29*discount_rate)/(1-(1/(1+discount_rate)^H29)))*G29</f>
        <v>1543.7668198020738</v>
      </c>
    </row>
    <row r="30" spans="2:9" ht="16.5" thickBot="1" thickTop="1">
      <c r="B30" s="34"/>
      <c r="C30" s="35" t="s">
        <v>199</v>
      </c>
      <c r="D30" s="35"/>
      <c r="E30" s="35"/>
      <c r="F30" s="35"/>
      <c r="G30" s="34"/>
      <c r="H30" s="35"/>
      <c r="I30" s="67">
        <f>SUM(I28:I29)</f>
        <v>2716.07188585367</v>
      </c>
    </row>
    <row r="31" spans="2:9" s="226" customFormat="1" ht="15">
      <c r="B31" s="120"/>
      <c r="C31" s="21"/>
      <c r="D31" s="21"/>
      <c r="E31" s="21"/>
      <c r="F31" s="21"/>
      <c r="G31" s="21"/>
      <c r="H31" s="21"/>
      <c r="I31" s="121"/>
    </row>
    <row r="32" spans="2:9" s="89" customFormat="1" ht="15">
      <c r="B32" s="174" t="s">
        <v>264</v>
      </c>
      <c r="C32" s="175"/>
      <c r="D32" s="175"/>
      <c r="E32" s="175"/>
      <c r="F32" s="175"/>
      <c r="G32" s="175"/>
      <c r="H32" s="175"/>
      <c r="I32" s="176"/>
    </row>
    <row r="33" spans="2:9" ht="12.75">
      <c r="B33" s="304" t="s">
        <v>263</v>
      </c>
      <c r="C33" s="305" t="s">
        <v>306</v>
      </c>
      <c r="D33" s="305"/>
      <c r="E33" s="305"/>
      <c r="F33" s="434" t="s">
        <v>307</v>
      </c>
      <c r="G33" s="432" t="s">
        <v>308</v>
      </c>
      <c r="H33" s="306" t="s">
        <v>168</v>
      </c>
      <c r="I33" s="307" t="s">
        <v>310</v>
      </c>
    </row>
    <row r="34" spans="2:9" ht="12.75">
      <c r="B34" s="207">
        <v>1</v>
      </c>
      <c r="C34" s="208" t="s">
        <v>200</v>
      </c>
      <c r="D34" s="208"/>
      <c r="E34" s="208"/>
      <c r="F34" s="308">
        <f>E10</f>
        <v>4130</v>
      </c>
      <c r="G34" s="422">
        <f>E11+E12</f>
        <v>3</v>
      </c>
      <c r="H34" s="310"/>
      <c r="I34" s="212">
        <f>F34*G34</f>
        <v>12390</v>
      </c>
    </row>
    <row r="35" spans="2:9" ht="12.75">
      <c r="B35" s="207">
        <v>2</v>
      </c>
      <c r="C35" s="208" t="s">
        <v>184</v>
      </c>
      <c r="D35" s="208"/>
      <c r="E35" s="208"/>
      <c r="F35" s="308">
        <f>E15</f>
        <v>40</v>
      </c>
      <c r="H35" s="227" t="s">
        <v>185</v>
      </c>
      <c r="I35" s="212">
        <f>F35*12</f>
        <v>480</v>
      </c>
    </row>
    <row r="36" spans="2:9" ht="12.75">
      <c r="B36" s="207">
        <v>3</v>
      </c>
      <c r="C36" s="208" t="s">
        <v>202</v>
      </c>
      <c r="D36" s="208"/>
      <c r="E36" s="208"/>
      <c r="F36" s="308">
        <f>E16</f>
        <v>500</v>
      </c>
      <c r="H36" s="227" t="s">
        <v>177</v>
      </c>
      <c r="I36" s="212">
        <f>F36</f>
        <v>500</v>
      </c>
    </row>
    <row r="37" spans="2:9" ht="12.75">
      <c r="B37" s="207">
        <v>4</v>
      </c>
      <c r="C37" s="208" t="s">
        <v>203</v>
      </c>
      <c r="D37" s="208"/>
      <c r="E37" s="208"/>
      <c r="F37" s="308">
        <f>E13</f>
        <v>100</v>
      </c>
      <c r="G37" s="422">
        <f>INT(E14*total_beds_national)</f>
        <v>7</v>
      </c>
      <c r="H37" s="310" t="s">
        <v>204</v>
      </c>
      <c r="I37" s="212">
        <f>F37*G37</f>
        <v>700</v>
      </c>
    </row>
    <row r="38" spans="2:9" ht="13.5" thickBot="1">
      <c r="B38" s="225">
        <v>5</v>
      </c>
      <c r="C38" s="214" t="s">
        <v>329</v>
      </c>
      <c r="D38" s="215"/>
      <c r="E38" s="216"/>
      <c r="F38" s="435"/>
      <c r="G38" s="430">
        <f>maintenance_frax_cap_cost*100</f>
        <v>5</v>
      </c>
      <c r="H38" s="217" t="s">
        <v>462</v>
      </c>
      <c r="I38" s="218">
        <f>I30*maintenance_frax_cap_cost</f>
        <v>135.80359429268353</v>
      </c>
    </row>
    <row r="39" spans="2:9" ht="16.5" thickBot="1" thickTop="1">
      <c r="B39" s="34"/>
      <c r="C39" s="35" t="s">
        <v>114</v>
      </c>
      <c r="D39" s="35"/>
      <c r="E39" s="35"/>
      <c r="F39" s="35"/>
      <c r="G39" s="35"/>
      <c r="H39" s="35"/>
      <c r="I39" s="67">
        <f>SUM(I34:I38)</f>
        <v>14205.803594292684</v>
      </c>
    </row>
    <row r="41" ht="12.75">
      <c r="G41" s="117"/>
    </row>
  </sheetData>
  <printOptions/>
  <pageMargins left="0.5" right="0.5" top="0.5" bottom="0.5"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CyberDoc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Theodore Gordon</dc:creator>
  <cp:keywords/>
  <dc:description/>
  <cp:lastModifiedBy>temporary</cp:lastModifiedBy>
  <cp:lastPrinted>2007-06-05T22:18:26Z</cp:lastPrinted>
  <dcterms:created xsi:type="dcterms:W3CDTF">2007-05-02T23:21:07Z</dcterms:created>
  <dcterms:modified xsi:type="dcterms:W3CDTF">2008-05-01T13:25:48Z</dcterms:modified>
  <cp:category/>
  <cp:version/>
  <cp:contentType/>
  <cp:contentStatus/>
</cp:coreProperties>
</file>