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55" windowWidth="15135" windowHeight="7755" activeTab="2"/>
  </bookViews>
  <sheets>
    <sheet name="Cover" sheetId="3" r:id="rId1"/>
    <sheet name="Summary" sheetId="2" r:id="rId2"/>
    <sheet name="Boq" sheetId="1" r:id="rId3"/>
  </sheets>
  <definedNames>
    <definedName name="_xlnm.Print_Area" localSheetId="2">Boq!$A$1:$G$996</definedName>
    <definedName name="_xlnm.Print_Area" localSheetId="0">Cover!$A$1:$A$30</definedName>
    <definedName name="_xlnm.Print_Area" localSheetId="1">Summary!$A$1:$C$21</definedName>
    <definedName name="_xlnm.Print_Titles" localSheetId="2">Boq!$3:$3</definedName>
  </definedNames>
  <calcPr calcId="145621"/>
</workbook>
</file>

<file path=xl/calcChain.xml><?xml version="1.0" encoding="utf-8"?>
<calcChain xmlns="http://schemas.openxmlformats.org/spreadsheetml/2006/main">
  <c r="D77" i="1" l="1"/>
  <c r="I73" i="1"/>
  <c r="G794" i="1"/>
  <c r="G700" i="1"/>
  <c r="G699" i="1"/>
  <c r="G697" i="1"/>
  <c r="G696" i="1"/>
  <c r="G695" i="1"/>
  <c r="D694" i="1"/>
  <c r="G694" i="1" s="1"/>
  <c r="G693" i="1"/>
  <c r="D692" i="1"/>
  <c r="G692" i="1" s="1"/>
  <c r="G691" i="1"/>
  <c r="D690" i="1"/>
  <c r="G690" i="1" s="1"/>
  <c r="D689" i="1"/>
  <c r="G689" i="1" s="1"/>
  <c r="G688" i="1"/>
  <c r="G687" i="1"/>
  <c r="G686" i="1"/>
  <c r="G684" i="1"/>
  <c r="G683" i="1"/>
  <c r="I623" i="1"/>
  <c r="I622" i="1"/>
  <c r="I558" i="1"/>
  <c r="I555" i="1"/>
  <c r="I554" i="1"/>
  <c r="I553" i="1"/>
  <c r="G530" i="1"/>
  <c r="N379" i="1"/>
  <c r="O379" i="1"/>
  <c r="I430" i="1"/>
  <c r="I387" i="1"/>
  <c r="J387" i="1" s="1"/>
  <c r="I388" i="1"/>
  <c r="J388" i="1" s="1"/>
  <c r="L388" i="1" s="1"/>
  <c r="K381" i="1"/>
  <c r="L381" i="1" s="1"/>
  <c r="I381" i="1"/>
  <c r="J381" i="1" s="1"/>
  <c r="K388" i="1"/>
  <c r="N387" i="1"/>
  <c r="O387" i="1" s="1"/>
  <c r="P387" i="1" s="1"/>
  <c r="I385" i="1"/>
  <c r="J385" i="1" s="1"/>
  <c r="I379" i="1"/>
  <c r="I339" i="1"/>
  <c r="I101" i="1"/>
  <c r="K351" i="1"/>
  <c r="I351" i="1"/>
  <c r="J351" i="1" s="1"/>
  <c r="I350" i="1"/>
  <c r="J350" i="1" s="1"/>
  <c r="I348" i="1"/>
  <c r="K350" i="1"/>
  <c r="K387" i="1" s="1"/>
  <c r="G522" i="1"/>
  <c r="D485" i="1"/>
  <c r="D472" i="1"/>
  <c r="G472" i="1" s="1"/>
  <c r="I478" i="1"/>
  <c r="G478" i="1"/>
  <c r="I477" i="1"/>
  <c r="J477" i="1" s="1"/>
  <c r="G477" i="1"/>
  <c r="K476" i="1"/>
  <c r="I476" i="1"/>
  <c r="J476" i="1" s="1"/>
  <c r="G476" i="1"/>
  <c r="D469" i="1"/>
  <c r="D466" i="1"/>
  <c r="G466" i="1" s="1"/>
  <c r="D465" i="1"/>
  <c r="G465" i="1" s="1"/>
  <c r="I460" i="1"/>
  <c r="M430" i="1"/>
  <c r="L430" i="1"/>
  <c r="K430" i="1"/>
  <c r="J430" i="1"/>
  <c r="J429" i="1"/>
  <c r="I429" i="1"/>
  <c r="G429" i="1"/>
  <c r="D306" i="1"/>
  <c r="J303" i="1"/>
  <c r="I303" i="1"/>
  <c r="J299" i="1"/>
  <c r="I299" i="1"/>
  <c r="I295" i="1"/>
  <c r="I297" i="1"/>
  <c r="J172" i="1"/>
  <c r="I172" i="1"/>
  <c r="L387" i="1" l="1"/>
  <c r="N430" i="1"/>
  <c r="K172" i="1"/>
  <c r="L350" i="1"/>
  <c r="M387" i="1"/>
  <c r="M388" i="1" s="1"/>
  <c r="L476" i="1"/>
  <c r="K429" i="1"/>
  <c r="I66" i="1"/>
  <c r="I102" i="1" l="1"/>
  <c r="I336" i="1" s="1"/>
  <c r="J336" i="1" s="1"/>
  <c r="K336" i="1" s="1"/>
  <c r="I67" i="1"/>
  <c r="P66" i="1"/>
  <c r="O66" i="1"/>
  <c r="N66" i="1"/>
  <c r="M66" i="1"/>
  <c r="L66" i="1"/>
  <c r="K66" i="1"/>
  <c r="J66" i="1"/>
  <c r="I60" i="1"/>
  <c r="G937" i="1" l="1"/>
  <c r="C17" i="2" s="1"/>
  <c r="G996" i="1"/>
  <c r="C18" i="2" s="1"/>
  <c r="G859" i="1"/>
  <c r="D780" i="1"/>
  <c r="G780" i="1" s="1"/>
  <c r="D816" i="1"/>
  <c r="D815" i="1"/>
  <c r="G815" i="1" s="1"/>
  <c r="D817" i="1"/>
  <c r="G817" i="1" s="1"/>
  <c r="D810" i="1"/>
  <c r="G810" i="1" s="1"/>
  <c r="D775" i="1"/>
  <c r="G775" i="1" s="1"/>
  <c r="D773" i="1"/>
  <c r="G773" i="1" s="1"/>
  <c r="D774" i="1"/>
  <c r="G774" i="1" s="1"/>
  <c r="G757" i="1"/>
  <c r="G816" i="1"/>
  <c r="D814" i="1"/>
  <c r="G814" i="1" s="1"/>
  <c r="D813" i="1"/>
  <c r="G813" i="1" s="1"/>
  <c r="D812" i="1"/>
  <c r="G812" i="1" s="1"/>
  <c r="D811" i="1"/>
  <c r="G811" i="1" s="1"/>
  <c r="G809" i="1"/>
  <c r="G808" i="1"/>
  <c r="G807" i="1"/>
  <c r="G806" i="1"/>
  <c r="G805" i="1"/>
  <c r="G804" i="1"/>
  <c r="G803" i="1"/>
  <c r="D802" i="1"/>
  <c r="G802" i="1" s="1"/>
  <c r="G801" i="1"/>
  <c r="G800" i="1"/>
  <c r="G799" i="1"/>
  <c r="G798" i="1"/>
  <c r="G797" i="1"/>
  <c r="G796" i="1"/>
  <c r="G795" i="1"/>
  <c r="G793" i="1"/>
  <c r="G791" i="1"/>
  <c r="G792" i="1"/>
  <c r="G790" i="1"/>
  <c r="G789" i="1"/>
  <c r="G788" i="1"/>
  <c r="G787" i="1"/>
  <c r="G786" i="1"/>
  <c r="G784" i="1"/>
  <c r="D781" i="1"/>
  <c r="G781" i="1" s="1"/>
  <c r="D779" i="1"/>
  <c r="G779" i="1" s="1"/>
  <c r="D778" i="1"/>
  <c r="G778" i="1" s="1"/>
  <c r="D776" i="1"/>
  <c r="G776" i="1" s="1"/>
  <c r="G772" i="1"/>
  <c r="G771" i="1"/>
  <c r="G770" i="1"/>
  <c r="G769" i="1"/>
  <c r="G768" i="1"/>
  <c r="G767" i="1"/>
  <c r="G766" i="1"/>
  <c r="D765" i="1"/>
  <c r="G765" i="1" s="1"/>
  <c r="G764" i="1"/>
  <c r="G763" i="1"/>
  <c r="G762" i="1"/>
  <c r="G761" i="1"/>
  <c r="G760" i="1"/>
  <c r="G759" i="1"/>
  <c r="G758" i="1"/>
  <c r="G756" i="1"/>
  <c r="G755" i="1"/>
  <c r="G754" i="1"/>
  <c r="G753" i="1"/>
  <c r="G752" i="1"/>
  <c r="G751" i="1"/>
  <c r="G750" i="1"/>
  <c r="G749" i="1"/>
  <c r="G748" i="1"/>
  <c r="G746" i="1"/>
  <c r="G745" i="1"/>
  <c r="G670" i="1"/>
  <c r="G669" i="1"/>
  <c r="G668" i="1"/>
  <c r="G666" i="1"/>
  <c r="G665" i="1"/>
  <c r="G664" i="1"/>
  <c r="D663" i="1"/>
  <c r="G663" i="1" s="1"/>
  <c r="G662" i="1"/>
  <c r="D661" i="1"/>
  <c r="G661" i="1" s="1"/>
  <c r="G660" i="1"/>
  <c r="D659" i="1"/>
  <c r="G659" i="1" s="1"/>
  <c r="D658" i="1"/>
  <c r="G658" i="1" s="1"/>
  <c r="G657" i="1"/>
  <c r="G656" i="1"/>
  <c r="G655" i="1"/>
  <c r="G831" i="1" l="1"/>
  <c r="G558" i="1" l="1"/>
  <c r="I628" i="1"/>
  <c r="I627" i="1"/>
  <c r="D581" i="1"/>
  <c r="D576" i="1"/>
  <c r="I481" i="1" l="1"/>
  <c r="J481" i="1"/>
  <c r="J460" i="1"/>
  <c r="G443" i="1"/>
  <c r="J420" i="1"/>
  <c r="I420" i="1"/>
  <c r="G420" i="1"/>
  <c r="I457" i="1"/>
  <c r="I456" i="1"/>
  <c r="J456" i="1" s="1"/>
  <c r="G457" i="1"/>
  <c r="G456" i="1"/>
  <c r="K455" i="1"/>
  <c r="I455" i="1"/>
  <c r="J455" i="1" s="1"/>
  <c r="G455" i="1"/>
  <c r="K420" i="1" l="1"/>
  <c r="L455" i="1"/>
  <c r="D449" i="1" l="1"/>
  <c r="D446" i="1"/>
  <c r="I428" i="1"/>
  <c r="G430" i="1"/>
  <c r="I424" i="1"/>
  <c r="I423" i="1"/>
  <c r="I421" i="1"/>
  <c r="L419" i="1"/>
  <c r="K419" i="1"/>
  <c r="J419" i="1"/>
  <c r="I419" i="1"/>
  <c r="I418" i="1"/>
  <c r="D486" i="1" l="1"/>
  <c r="G486" i="1" s="1"/>
  <c r="M419" i="1"/>
  <c r="P385" i="1"/>
  <c r="O385" i="1"/>
  <c r="N385" i="1"/>
  <c r="M385" i="1"/>
  <c r="L385" i="1"/>
  <c r="O381" i="1"/>
  <c r="P381" i="1" s="1"/>
  <c r="Q381" i="1" s="1"/>
  <c r="M381" i="1"/>
  <c r="M379" i="1"/>
  <c r="J379" i="1"/>
  <c r="L379" i="1" s="1"/>
  <c r="I355" i="1"/>
  <c r="L351" i="1"/>
  <c r="M350" i="1"/>
  <c r="J524" i="1"/>
  <c r="I529" i="1"/>
  <c r="J529" i="1" s="1"/>
  <c r="I528" i="1"/>
  <c r="J528" i="1" s="1"/>
  <c r="I525" i="1"/>
  <c r="J525" i="1" s="1"/>
  <c r="I521" i="1"/>
  <c r="J521" i="1" s="1"/>
  <c r="I522" i="1"/>
  <c r="I347" i="1"/>
  <c r="G351" i="1"/>
  <c r="K343" i="1"/>
  <c r="I343" i="1"/>
  <c r="J343" i="1" s="1"/>
  <c r="I342" i="1"/>
  <c r="I340" i="1"/>
  <c r="J339" i="1"/>
  <c r="L339" i="1" s="1"/>
  <c r="I375" i="1"/>
  <c r="J297" i="1"/>
  <c r="L295" i="1"/>
  <c r="K295" i="1"/>
  <c r="J295" i="1"/>
  <c r="J289" i="1"/>
  <c r="J285" i="1"/>
  <c r="J274" i="1"/>
  <c r="K270" i="1"/>
  <c r="M270" i="1" s="1"/>
  <c r="J270" i="1"/>
  <c r="J266" i="1"/>
  <c r="L266" i="1"/>
  <c r="M266" i="1"/>
  <c r="I249" i="1"/>
  <c r="K249" i="1"/>
  <c r="L249" i="1" s="1"/>
  <c r="J245" i="1"/>
  <c r="N245" i="1"/>
  <c r="O245" i="1" s="1"/>
  <c r="J241" i="1"/>
  <c r="J237" i="1"/>
  <c r="J212" i="1"/>
  <c r="K212" i="1" s="1"/>
  <c r="K208" i="1"/>
  <c r="M208" i="1" s="1"/>
  <c r="M204" i="1"/>
  <c r="L204" i="1"/>
  <c r="J208" i="1"/>
  <c r="J204" i="1"/>
  <c r="J198" i="1"/>
  <c r="J194" i="1"/>
  <c r="P95" i="1"/>
  <c r="O95" i="1"/>
  <c r="N95" i="1"/>
  <c r="M95" i="1"/>
  <c r="L95" i="1"/>
  <c r="K95" i="1"/>
  <c r="J95" i="1"/>
  <c r="I95" i="1"/>
  <c r="I182" i="1"/>
  <c r="J182" i="1" s="1"/>
  <c r="I181" i="1"/>
  <c r="J181" i="1" s="1"/>
  <c r="I137" i="1"/>
  <c r="I136" i="1"/>
  <c r="J135" i="1"/>
  <c r="I131" i="1"/>
  <c r="I130" i="1"/>
  <c r="I129" i="1"/>
  <c r="J157" i="1"/>
  <c r="I157" i="1"/>
  <c r="J127" i="1"/>
  <c r="I127" i="1"/>
  <c r="I169" i="1"/>
  <c r="I168" i="1"/>
  <c r="I167" i="1"/>
  <c r="I166" i="1"/>
  <c r="I165" i="1"/>
  <c r="I176" i="1"/>
  <c r="I175" i="1"/>
  <c r="I174" i="1"/>
  <c r="I107" i="1"/>
  <c r="I108" i="1"/>
  <c r="I153" i="1"/>
  <c r="I152" i="1"/>
  <c r="I151" i="1"/>
  <c r="O145" i="1"/>
  <c r="P145" i="1"/>
  <c r="J347" i="1" l="1"/>
  <c r="L347" i="1" s="1"/>
  <c r="M347" i="1" s="1"/>
  <c r="L522" i="1"/>
  <c r="M295" i="1"/>
  <c r="J522" i="1"/>
  <c r="K530" i="1" s="1"/>
  <c r="K261" i="1"/>
  <c r="L261" i="1" s="1"/>
  <c r="M261" i="1" s="1"/>
  <c r="N261" i="1" s="1"/>
  <c r="N381" i="1"/>
  <c r="I382" i="1" s="1"/>
  <c r="K382" i="1" s="1"/>
  <c r="P379" i="1"/>
  <c r="Q379" i="1" s="1"/>
  <c r="Q385" i="1"/>
  <c r="N388" i="1"/>
  <c r="K127" i="1"/>
  <c r="L127" i="1" s="1"/>
  <c r="L208" i="1"/>
  <c r="N208" i="1" s="1"/>
  <c r="L270" i="1"/>
  <c r="N270" i="1" s="1"/>
  <c r="K157" i="1"/>
  <c r="J165" i="1"/>
  <c r="I161" i="1"/>
  <c r="J166" i="1"/>
  <c r="J167" i="1"/>
  <c r="K167" i="1"/>
  <c r="J168" i="1"/>
  <c r="J169" i="1"/>
  <c r="J170" i="1"/>
  <c r="J180" i="1"/>
  <c r="N145" i="1"/>
  <c r="M145" i="1"/>
  <c r="L145" i="1"/>
  <c r="K145" i="1"/>
  <c r="J145" i="1"/>
  <c r="I145" i="1"/>
  <c r="I159" i="1"/>
  <c r="J159" i="1" s="1"/>
  <c r="I147" i="1"/>
  <c r="I146" i="1"/>
  <c r="J136" i="1"/>
  <c r="I120" i="1"/>
  <c r="I124" i="1"/>
  <c r="I123" i="1"/>
  <c r="I122" i="1"/>
  <c r="I121" i="1"/>
  <c r="I116" i="1"/>
  <c r="J112" i="1"/>
  <c r="I112" i="1"/>
  <c r="I106" i="1"/>
  <c r="P100" i="1"/>
  <c r="O100" i="1"/>
  <c r="N100" i="1"/>
  <c r="M100" i="1"/>
  <c r="L100" i="1"/>
  <c r="K100" i="1"/>
  <c r="J100" i="1"/>
  <c r="I100" i="1"/>
  <c r="K96" i="1"/>
  <c r="L96" i="1" s="1"/>
  <c r="I96" i="1"/>
  <c r="J96" i="1" s="1"/>
  <c r="K67" i="1"/>
  <c r="L67" i="1" s="1"/>
  <c r="J67" i="1"/>
  <c r="J146" i="1" l="1"/>
  <c r="J101" i="1"/>
  <c r="J530" i="1"/>
  <c r="L530" i="1" s="1"/>
  <c r="K219" i="1"/>
  <c r="L219" i="1" s="1"/>
  <c r="M67" i="1"/>
  <c r="N67" i="1" s="1"/>
  <c r="Q145" i="1"/>
  <c r="L167" i="1"/>
  <c r="Q95" i="1"/>
  <c r="M96" i="1"/>
  <c r="N96" i="1" l="1"/>
  <c r="P96" i="1" s="1"/>
  <c r="J622" i="1"/>
  <c r="I581" i="1"/>
  <c r="D585" i="1"/>
  <c r="D580" i="1"/>
  <c r="D579" i="1"/>
  <c r="D574" i="1"/>
  <c r="D549" i="1"/>
  <c r="G481" i="1"/>
  <c r="K422" i="1"/>
  <c r="J422" i="1"/>
  <c r="I422" i="1"/>
  <c r="D451" i="1"/>
  <c r="G485" i="1" s="1"/>
  <c r="D427" i="1"/>
  <c r="D464" i="1" l="1"/>
  <c r="G464" i="1" s="1"/>
  <c r="D550" i="1"/>
  <c r="K460" i="1"/>
  <c r="L422" i="1"/>
  <c r="K481" i="1"/>
  <c r="M456" i="1"/>
  <c r="N456" i="1" s="1"/>
  <c r="D448" i="1"/>
  <c r="D444" i="1"/>
  <c r="D393" i="1"/>
  <c r="D391" i="1"/>
  <c r="O393" i="1"/>
  <c r="N393" i="1"/>
  <c r="M393" i="1"/>
  <c r="L393" i="1"/>
  <c r="K393" i="1"/>
  <c r="J342" i="1"/>
  <c r="I514" i="1"/>
  <c r="J514" i="1" s="1"/>
  <c r="I513" i="1"/>
  <c r="J513" i="1" s="1"/>
  <c r="I512" i="1"/>
  <c r="J512" i="1" s="1"/>
  <c r="I510" i="1"/>
  <c r="J510" i="1" s="1"/>
  <c r="I509" i="1"/>
  <c r="I508" i="1"/>
  <c r="G529" i="1"/>
  <c r="G528" i="1"/>
  <c r="G525" i="1"/>
  <c r="G521" i="1"/>
  <c r="I576" i="1" l="1"/>
  <c r="P393" i="1"/>
  <c r="K289" i="1"/>
  <c r="L281" i="1"/>
  <c r="M281" i="1" s="1"/>
  <c r="O261" i="1" l="1"/>
  <c r="K253" i="1"/>
  <c r="K245" i="1"/>
  <c r="L245" i="1" s="1"/>
  <c r="K241" i="1"/>
  <c r="L241" i="1" s="1"/>
  <c r="J227" i="1"/>
  <c r="K227" i="1" s="1"/>
  <c r="L227" i="1" s="1"/>
  <c r="J223" i="1"/>
  <c r="K223" i="1" s="1"/>
  <c r="L223" i="1" s="1"/>
  <c r="I227" i="1"/>
  <c r="I228" i="1" s="1"/>
  <c r="D226" i="1" s="1"/>
  <c r="G226" i="1" s="1"/>
  <c r="G227" i="1"/>
  <c r="I224" i="1"/>
  <c r="G224" i="1"/>
  <c r="I223" i="1"/>
  <c r="G223" i="1"/>
  <c r="L237" i="1"/>
  <c r="I225" i="1" l="1"/>
  <c r="D222" i="1" s="1"/>
  <c r="G222" i="1" s="1"/>
  <c r="D228" i="1"/>
  <c r="G228" i="1" s="1"/>
  <c r="K194" i="1"/>
  <c r="K198" i="1"/>
  <c r="J191" i="1"/>
  <c r="D225" i="1" l="1"/>
  <c r="G225" i="1" s="1"/>
  <c r="I114" i="1"/>
  <c r="J114" i="1" s="1"/>
  <c r="J137" i="1"/>
  <c r="J116" i="1"/>
  <c r="G157" i="1"/>
  <c r="G156" i="1"/>
  <c r="J120" i="1"/>
  <c r="J123" i="1"/>
  <c r="K122" i="1"/>
  <c r="J121" i="1"/>
  <c r="G161" i="1"/>
  <c r="G159" i="1"/>
  <c r="K112" i="1" l="1"/>
  <c r="J122" i="1"/>
  <c r="L122" i="1" s="1"/>
  <c r="J125" i="1"/>
  <c r="J124" i="1"/>
  <c r="G114" i="1"/>
  <c r="G116" i="1"/>
  <c r="G115" i="1"/>
  <c r="G113" i="1"/>
  <c r="J102" i="1"/>
  <c r="J147" i="1" l="1"/>
  <c r="Q66" i="1"/>
  <c r="R66" i="1" s="1"/>
  <c r="P67" i="1" s="1"/>
  <c r="Q100" i="1" l="1"/>
  <c r="G671" i="1"/>
  <c r="G303" i="1"/>
  <c r="G302" i="1"/>
  <c r="G301" i="1"/>
  <c r="G300" i="1"/>
  <c r="K303" i="1" l="1"/>
  <c r="G517" i="1" l="1"/>
  <c r="G516" i="1"/>
  <c r="G535" i="1"/>
  <c r="G534" i="1"/>
  <c r="G861" i="1" l="1"/>
  <c r="G860" i="1"/>
  <c r="G858" i="1"/>
  <c r="G857" i="1"/>
  <c r="G856" i="1"/>
  <c r="G855" i="1"/>
  <c r="G854" i="1"/>
  <c r="G851" i="1"/>
  <c r="G850" i="1"/>
  <c r="G849" i="1"/>
  <c r="G848" i="1"/>
  <c r="G847" i="1"/>
  <c r="G846" i="1"/>
  <c r="G845" i="1"/>
  <c r="G844" i="1"/>
  <c r="G843" i="1"/>
  <c r="G878" i="1" l="1"/>
  <c r="C16" i="2" s="1"/>
  <c r="I219" i="1"/>
  <c r="G307" i="1"/>
  <c r="I614" i="1"/>
  <c r="G614" i="1"/>
  <c r="G299" i="1"/>
  <c r="G298" i="1"/>
  <c r="K299" i="1" l="1"/>
  <c r="D625" i="1"/>
  <c r="G625" i="1" s="1"/>
  <c r="G628" i="1"/>
  <c r="G627" i="1"/>
  <c r="G626" i="1"/>
  <c r="D624" i="1"/>
  <c r="G624" i="1" s="1"/>
  <c r="G623" i="1"/>
  <c r="G622" i="1"/>
  <c r="G621" i="1"/>
  <c r="G620" i="1"/>
  <c r="G619" i="1"/>
  <c r="G585" i="1"/>
  <c r="J581" i="1"/>
  <c r="G581" i="1"/>
  <c r="G617" i="1"/>
  <c r="G554" i="1"/>
  <c r="G555" i="1"/>
  <c r="G553" i="1"/>
  <c r="I550" i="1"/>
  <c r="I549" i="1"/>
  <c r="G451" i="1"/>
  <c r="J469" i="1"/>
  <c r="I469" i="1"/>
  <c r="G449" i="1"/>
  <c r="I427" i="1"/>
  <c r="G428" i="1"/>
  <c r="G431" i="1"/>
  <c r="G427" i="1"/>
  <c r="G423" i="1"/>
  <c r="G424" i="1"/>
  <c r="G306" i="1"/>
  <c r="M339" i="1"/>
  <c r="G350" i="1"/>
  <c r="G349" i="1"/>
  <c r="G348" i="1"/>
  <c r="G347" i="1"/>
  <c r="G346" i="1"/>
  <c r="G340" i="1"/>
  <c r="G343" i="1"/>
  <c r="G342" i="1"/>
  <c r="J508" i="1"/>
  <c r="G514" i="1"/>
  <c r="G513" i="1"/>
  <c r="G512" i="1"/>
  <c r="G297" i="1"/>
  <c r="G296" i="1"/>
  <c r="L289" i="1"/>
  <c r="I289" i="1"/>
  <c r="I290" i="1"/>
  <c r="G290" i="1"/>
  <c r="G289" i="1"/>
  <c r="K285" i="1"/>
  <c r="L285" i="1" s="1"/>
  <c r="L198" i="1"/>
  <c r="I198" i="1"/>
  <c r="I286" i="1"/>
  <c r="G286" i="1"/>
  <c r="I285" i="1"/>
  <c r="G285" i="1"/>
  <c r="I282" i="1"/>
  <c r="G282" i="1"/>
  <c r="I281" i="1"/>
  <c r="G281" i="1"/>
  <c r="G278" i="1"/>
  <c r="G293" i="1"/>
  <c r="G294" i="1"/>
  <c r="G295" i="1"/>
  <c r="G305" i="1"/>
  <c r="G308" i="1"/>
  <c r="K257" i="1"/>
  <c r="L257" i="1" s="1"/>
  <c r="L253" i="1"/>
  <c r="G249" i="1"/>
  <c r="I245" i="1"/>
  <c r="G245" i="1"/>
  <c r="M237" i="1"/>
  <c r="I258" i="1"/>
  <c r="G258" i="1"/>
  <c r="I257" i="1"/>
  <c r="G257" i="1"/>
  <c r="I250" i="1"/>
  <c r="I246" i="1"/>
  <c r="I242" i="1"/>
  <c r="I241" i="1"/>
  <c r="I238" i="1"/>
  <c r="I237" i="1"/>
  <c r="I253" i="1"/>
  <c r="I259" i="1"/>
  <c r="G259" i="1"/>
  <c r="I254" i="1"/>
  <c r="G254" i="1"/>
  <c r="G253" i="1"/>
  <c r="G250" i="1"/>
  <c r="G246" i="1"/>
  <c r="G242" i="1"/>
  <c r="G241" i="1"/>
  <c r="I275" i="1"/>
  <c r="G275" i="1"/>
  <c r="I274" i="1"/>
  <c r="G274" i="1"/>
  <c r="I271" i="1"/>
  <c r="G271" i="1"/>
  <c r="I270" i="1"/>
  <c r="G270" i="1"/>
  <c r="I267" i="1"/>
  <c r="G267" i="1"/>
  <c r="N266" i="1"/>
  <c r="I266" i="1"/>
  <c r="G266" i="1"/>
  <c r="I272" i="1" l="1"/>
  <c r="D269" i="1" s="1"/>
  <c r="D272" i="1" s="1"/>
  <c r="G272" i="1" s="1"/>
  <c r="K469" i="1"/>
  <c r="L343" i="1"/>
  <c r="N351" i="1"/>
  <c r="I291" i="1"/>
  <c r="D288" i="1" s="1"/>
  <c r="D291" i="1" s="1"/>
  <c r="G291" i="1" s="1"/>
  <c r="I255" i="1"/>
  <c r="D252" i="1" s="1"/>
  <c r="D255" i="1" s="1"/>
  <c r="G255" i="1" s="1"/>
  <c r="I283" i="1"/>
  <c r="D280" i="1" s="1"/>
  <c r="D283" i="1" s="1"/>
  <c r="G283" i="1" s="1"/>
  <c r="I287" i="1"/>
  <c r="D284" i="1" s="1"/>
  <c r="D287" i="1" s="1"/>
  <c r="G287" i="1" s="1"/>
  <c r="I276" i="1"/>
  <c r="D273" i="1" s="1"/>
  <c r="D276" i="1" s="1"/>
  <c r="G276" i="1" s="1"/>
  <c r="I251" i="1"/>
  <c r="D248" i="1" s="1"/>
  <c r="I260" i="1"/>
  <c r="D256" i="1" s="1"/>
  <c r="G256" i="1" s="1"/>
  <c r="I268" i="1"/>
  <c r="D265" i="1" s="1"/>
  <c r="G265" i="1" s="1"/>
  <c r="I262" i="1"/>
  <c r="I263" i="1" s="1"/>
  <c r="D261" i="1" s="1"/>
  <c r="D263" i="1" s="1"/>
  <c r="G262" i="1"/>
  <c r="I239" i="1"/>
  <c r="D236" i="1" s="1"/>
  <c r="D239" i="1" s="1"/>
  <c r="G239" i="1" s="1"/>
  <c r="G238" i="1"/>
  <c r="G237" i="1"/>
  <c r="G234" i="1"/>
  <c r="N204" i="1"/>
  <c r="I208" i="1"/>
  <c r="G208" i="1"/>
  <c r="I204" i="1"/>
  <c r="L194" i="1"/>
  <c r="I191" i="1"/>
  <c r="G191" i="1"/>
  <c r="G182" i="1"/>
  <c r="G181" i="1"/>
  <c r="G180" i="1"/>
  <c r="G176" i="1"/>
  <c r="G175" i="1"/>
  <c r="G174" i="1"/>
  <c r="G172" i="1"/>
  <c r="G171" i="1"/>
  <c r="G170" i="1"/>
  <c r="G169" i="1"/>
  <c r="G168" i="1"/>
  <c r="G167" i="1"/>
  <c r="G166" i="1"/>
  <c r="G165" i="1"/>
  <c r="G155" i="1"/>
  <c r="G154" i="1"/>
  <c r="G153" i="1"/>
  <c r="G152" i="1"/>
  <c r="G151" i="1"/>
  <c r="G147" i="1"/>
  <c r="G146" i="1"/>
  <c r="G145" i="1"/>
  <c r="G127" i="1"/>
  <c r="G126" i="1"/>
  <c r="G137" i="1"/>
  <c r="G136" i="1"/>
  <c r="G135" i="1"/>
  <c r="G125" i="1"/>
  <c r="G124" i="1"/>
  <c r="G123" i="1"/>
  <c r="G122" i="1"/>
  <c r="G121" i="1"/>
  <c r="G120" i="1"/>
  <c r="G112" i="1"/>
  <c r="G111" i="1"/>
  <c r="G131" i="1"/>
  <c r="G130" i="1"/>
  <c r="G129" i="1"/>
  <c r="G269" i="1" l="1"/>
  <c r="K508" i="1"/>
  <c r="G288" i="1"/>
  <c r="D268" i="1"/>
  <c r="G268" i="1" s="1"/>
  <c r="G252" i="1"/>
  <c r="G280" i="1"/>
  <c r="I192" i="1"/>
  <c r="G284" i="1"/>
  <c r="G248" i="1"/>
  <c r="D251" i="1"/>
  <c r="G251" i="1" s="1"/>
  <c r="G273" i="1"/>
  <c r="D260" i="1"/>
  <c r="G260" i="1" s="1"/>
  <c r="I247" i="1"/>
  <c r="D244" i="1" s="1"/>
  <c r="I243" i="1"/>
  <c r="D240" i="1" s="1"/>
  <c r="D243" i="1" s="1"/>
  <c r="G263" i="1"/>
  <c r="G261" i="1"/>
  <c r="G236" i="1"/>
  <c r="D247" i="1" l="1"/>
  <c r="G247" i="1" s="1"/>
  <c r="G244" i="1"/>
  <c r="G240" i="1"/>
  <c r="G243" i="1"/>
  <c r="I212" i="1"/>
  <c r="I199" i="1" l="1"/>
  <c r="I200" i="1" s="1"/>
  <c r="G199" i="1"/>
  <c r="G198" i="1"/>
  <c r="I195" i="1"/>
  <c r="G195" i="1"/>
  <c r="I194" i="1"/>
  <c r="G194" i="1"/>
  <c r="I196" i="1" l="1"/>
  <c r="D197" i="1"/>
  <c r="D200" i="1" s="1"/>
  <c r="G703" i="1" l="1"/>
  <c r="G704" i="1"/>
  <c r="D584" i="1"/>
  <c r="G584" i="1" s="1"/>
  <c r="D583" i="1"/>
  <c r="G583" i="1" s="1"/>
  <c r="G393" i="1"/>
  <c r="G392" i="1"/>
  <c r="G391" i="1"/>
  <c r="G387" i="1"/>
  <c r="G386" i="1"/>
  <c r="G385" i="1"/>
  <c r="G444" i="1"/>
  <c r="D442" i="1"/>
  <c r="G355" i="1"/>
  <c r="G354" i="1"/>
  <c r="G390" i="1"/>
  <c r="L427" i="1" l="1"/>
  <c r="I213" i="1" l="1"/>
  <c r="G213" i="1"/>
  <c r="G212" i="1"/>
  <c r="I209" i="1"/>
  <c r="G209" i="1"/>
  <c r="I205" i="1"/>
  <c r="G205" i="1"/>
  <c r="G204" i="1"/>
  <c r="I206" i="1" l="1"/>
  <c r="I214" i="1"/>
  <c r="I210" i="1"/>
  <c r="D190" i="1"/>
  <c r="D193" i="1"/>
  <c r="D196" i="1" s="1"/>
  <c r="G196" i="1" s="1"/>
  <c r="G200" i="1"/>
  <c r="D74" i="1"/>
  <c r="G197" i="1" l="1"/>
  <c r="G193" i="1"/>
  <c r="F19" i="2" l="1"/>
  <c r="G613" i="1"/>
  <c r="G422" i="1"/>
  <c r="G421" i="1"/>
  <c r="G419" i="1"/>
  <c r="G418" i="1"/>
  <c r="G448" i="1"/>
  <c r="G446" i="1"/>
  <c r="G469" i="1"/>
  <c r="G442" i="1"/>
  <c r="G640" i="1" l="1"/>
  <c r="L511" i="1" l="1"/>
  <c r="J509" i="1"/>
  <c r="M139" i="1"/>
  <c r="J515" i="1" l="1"/>
  <c r="D207" i="1"/>
  <c r="D203" i="1"/>
  <c r="D211" i="1"/>
  <c r="K515" i="1" l="1"/>
  <c r="L515" i="1" s="1"/>
  <c r="G211" i="1"/>
  <c r="D214" i="1"/>
  <c r="G214" i="1" s="1"/>
  <c r="G207" i="1"/>
  <c r="D210" i="1"/>
  <c r="G210" i="1" s="1"/>
  <c r="G203" i="1"/>
  <c r="D206" i="1"/>
  <c r="G206" i="1" s="1"/>
  <c r="G102" i="1" l="1"/>
  <c r="G101" i="1"/>
  <c r="I63" i="1" l="1"/>
  <c r="G32" i="1"/>
  <c r="G375" i="1" l="1"/>
  <c r="G381" i="1" l="1"/>
  <c r="G380" i="1"/>
  <c r="G378" i="1"/>
  <c r="G377" i="1"/>
  <c r="G384" i="1"/>
  <c r="G510" i="1" l="1"/>
  <c r="G509" i="1"/>
  <c r="G508" i="1"/>
  <c r="G539" i="1" l="1"/>
  <c r="G108" i="1"/>
  <c r="G107" i="1"/>
  <c r="G106" i="1"/>
  <c r="G549" i="1" l="1"/>
  <c r="G489" i="1"/>
  <c r="I463" i="1"/>
  <c r="G460" i="1"/>
  <c r="D575" i="1"/>
  <c r="G564" i="1" l="1"/>
  <c r="I216" i="1" l="1"/>
  <c r="G219" i="1"/>
  <c r="D192" i="1"/>
  <c r="G192" i="1" s="1"/>
  <c r="I220" i="1" l="1"/>
  <c r="I217" i="1"/>
  <c r="G216" i="1" l="1"/>
  <c r="D218" i="1"/>
  <c r="D215" i="1" l="1"/>
  <c r="D220" i="1"/>
  <c r="G220" i="1" s="1"/>
  <c r="G218" i="1"/>
  <c r="C15" i="2" l="1"/>
  <c r="D217" i="1"/>
  <c r="G217" i="1" s="1"/>
  <c r="G215" i="1"/>
  <c r="G23" i="1" l="1"/>
  <c r="G654" i="1" l="1"/>
  <c r="G653" i="1"/>
  <c r="G652" i="1"/>
  <c r="G650" i="1"/>
  <c r="G733" i="1" l="1"/>
  <c r="C13" i="2"/>
  <c r="G576" i="1" l="1"/>
  <c r="G426" i="1" l="1"/>
  <c r="G417" i="1"/>
  <c r="G495" i="1" l="1"/>
  <c r="G341" i="1"/>
  <c r="G338" i="1"/>
  <c r="G201" i="1" l="1"/>
  <c r="G110" i="1"/>
  <c r="G109" i="1"/>
  <c r="G100" i="1"/>
  <c r="G97" i="1"/>
  <c r="G78" i="1"/>
  <c r="G77" i="1"/>
  <c r="G76" i="1"/>
  <c r="G75" i="1"/>
  <c r="G74" i="1"/>
  <c r="G73" i="1"/>
  <c r="G69" i="1"/>
  <c r="G68" i="1"/>
  <c r="G67" i="1"/>
  <c r="G66" i="1"/>
  <c r="G65" i="1"/>
  <c r="G64" i="1"/>
  <c r="G63" i="1"/>
  <c r="G62" i="1"/>
  <c r="G61" i="1"/>
  <c r="G60" i="1"/>
  <c r="G59" i="1"/>
  <c r="G24" i="1"/>
  <c r="G25" i="1"/>
  <c r="G26" i="1"/>
  <c r="G27" i="1"/>
  <c r="G580" i="1" l="1"/>
  <c r="G579" i="1"/>
  <c r="G575" i="1"/>
  <c r="G574" i="1"/>
  <c r="G22" i="1"/>
  <c r="G604" i="1" l="1"/>
  <c r="G31" i="1" l="1"/>
  <c r="G30" i="1"/>
  <c r="G28" i="1"/>
  <c r="G52" i="1" l="1"/>
  <c r="C5" i="2" s="1"/>
  <c r="C14" i="2"/>
  <c r="C10" i="2"/>
  <c r="G339" i="1" l="1"/>
  <c r="G336" i="1" l="1"/>
  <c r="G409" i="1" s="1"/>
  <c r="C11" i="2" l="1"/>
  <c r="G88" i="1" l="1"/>
  <c r="C6" i="2" l="1"/>
  <c r="G190" i="1" l="1"/>
  <c r="C12" i="2" l="1"/>
  <c r="G325" i="1" l="1"/>
  <c r="C9" i="2"/>
  <c r="C8" i="2" l="1"/>
  <c r="C7" i="2" l="1"/>
  <c r="C21" i="2" s="1"/>
  <c r="C22" i="2" l="1"/>
  <c r="C23" i="2" s="1"/>
  <c r="F17" i="2"/>
  <c r="F21" i="2" l="1"/>
  <c r="F20" i="2"/>
</calcChain>
</file>

<file path=xl/sharedStrings.xml><?xml version="1.0" encoding="utf-8"?>
<sst xmlns="http://schemas.openxmlformats.org/spreadsheetml/2006/main" count="1318" uniqueCount="526">
  <si>
    <t>Item</t>
  </si>
  <si>
    <t>Description</t>
  </si>
  <si>
    <t>Unit</t>
  </si>
  <si>
    <t>Qty</t>
  </si>
  <si>
    <t>Material
Rate</t>
  </si>
  <si>
    <t>Labour
Rate</t>
  </si>
  <si>
    <t>Total</t>
  </si>
  <si>
    <t>(1)</t>
  </si>
  <si>
    <t>nos</t>
  </si>
  <si>
    <t>kg</t>
  </si>
  <si>
    <t>2.2</t>
  </si>
  <si>
    <t>REINFORCEMENT WORK</t>
  </si>
  <si>
    <t>FORM WORK</t>
  </si>
  <si>
    <t>REINFORCED CONCRETE</t>
  </si>
  <si>
    <t>Binding wire</t>
  </si>
  <si>
    <t>item</t>
  </si>
  <si>
    <t>2.3</t>
  </si>
  <si>
    <t>BILL No: 01</t>
  </si>
  <si>
    <t>PRELIMINARIES</t>
  </si>
  <si>
    <t>General Notes</t>
  </si>
  <si>
    <t>Abbreviations</t>
  </si>
  <si>
    <t>m - metre</t>
  </si>
  <si>
    <t>no - numbers</t>
  </si>
  <si>
    <t>m³ - cubic metre</t>
  </si>
  <si>
    <t>m² - square metre</t>
  </si>
  <si>
    <t>t - tonnes</t>
  </si>
  <si>
    <t>incl - including</t>
  </si>
  <si>
    <t>mm - millimetre</t>
  </si>
  <si>
    <t>dia - diameter</t>
  </si>
  <si>
    <t>SS - Stainless Steel</t>
  </si>
  <si>
    <t>GI - Galvanised Iron</t>
  </si>
  <si>
    <t>Site Management Costs</t>
  </si>
  <si>
    <t>Sign Board</t>
  </si>
  <si>
    <t>Allow for sign board.</t>
  </si>
  <si>
    <t>No</t>
  </si>
  <si>
    <t>Clean-up</t>
  </si>
  <si>
    <t>Allow for clean-up of completed works and site upon completion.</t>
  </si>
  <si>
    <t>BILL No: 01 PRELIMINARIES</t>
  </si>
  <si>
    <t>TOTAL OF BILL No: 01 - Carried over to summary</t>
  </si>
  <si>
    <t>BILL NO : 02</t>
  </si>
  <si>
    <t>GROUND WORK</t>
  </si>
  <si>
    <t>General</t>
  </si>
  <si>
    <t>Shoring</t>
  </si>
  <si>
    <t>Charges for construction of 150mm thick solid block Masonry wall complete including plastering, below existing adjacent building to protect side buildings.</t>
  </si>
  <si>
    <t>m²</t>
  </si>
  <si>
    <t>Excavation</t>
  </si>
  <si>
    <t xml:space="preserve">(a) Excavation quantities are measured to the faces of concrete members. Rates shall include for all additional excavation required to place the formwork , back fill , dewatering and others </t>
  </si>
  <si>
    <t>m³</t>
  </si>
  <si>
    <t>2.4</t>
  </si>
  <si>
    <t>Back filling</t>
  </si>
  <si>
    <t>2.4.1</t>
  </si>
  <si>
    <t>Damp Proof Membrane</t>
  </si>
  <si>
    <t>(a) Rates shall include for: dressing around and sealing to all penetrations,   laps and turnups.</t>
  </si>
  <si>
    <t xml:space="preserve">Polythene damp proof membrane (500 gauge) laid on blinding layer.  </t>
  </si>
  <si>
    <t>BILL No: 02 GROUND WORKS</t>
  </si>
  <si>
    <t>TOTAL OF BILL No: 02 - Carried over to summary</t>
  </si>
  <si>
    <t>BILL NO : 03</t>
  </si>
  <si>
    <t>3.0</t>
  </si>
  <si>
    <t>CONCRETE</t>
  </si>
  <si>
    <t xml:space="preserve"> </t>
  </si>
  <si>
    <t>Site clearance</t>
  </si>
  <si>
    <t>Clearing site - Demolition of Existing building and dispatch all debris, clearing and dispose all unwanted materials away from site and prepare site ready for proposed construction.</t>
  </si>
  <si>
    <t>3.1.1</t>
  </si>
  <si>
    <t>LEAN CONCRETE</t>
  </si>
  <si>
    <t>FOUNDATIONS</t>
  </si>
  <si>
    <t>(a)</t>
  </si>
  <si>
    <t>(b)</t>
  </si>
  <si>
    <t>GROUND FLOOR</t>
  </si>
  <si>
    <t>3.2</t>
  </si>
  <si>
    <t>FIRST FLOOR</t>
  </si>
  <si>
    <t>(c)</t>
  </si>
  <si>
    <t>3.3</t>
  </si>
  <si>
    <t>(b) Timber used for unexposed concrete surface shall sound dressed and seasoned good quality common timber while for exposed concrete surfaces dressedand matched boards uniformly thick and not more than 251mm wide.</t>
  </si>
  <si>
    <t>c) Plywood used for forms shall be of commercial standard, moisture resistane conrete form plywoodnot lessthan 6mm thick and atleast 12mm thick.</t>
  </si>
  <si>
    <t>(d) Rates shall include for; all necessary boarding,supports, erecting, framing, temporary cambering cutting, perforations for reinforcing bars, bolts,straps,ties, hangers, pipes and removal of  formwork.</t>
  </si>
  <si>
    <t>SUMMARY OF BILL OF QUANTITIES</t>
  </si>
  <si>
    <t>Bl.no</t>
  </si>
  <si>
    <t>Item Description</t>
  </si>
  <si>
    <t>Amount</t>
  </si>
  <si>
    <t>1</t>
  </si>
  <si>
    <t>2</t>
  </si>
  <si>
    <t>GROUND WORKS</t>
  </si>
  <si>
    <t>3</t>
  </si>
  <si>
    <t>CONCRETE WORKS</t>
  </si>
  <si>
    <t>4</t>
  </si>
  <si>
    <t>MASONRY  &amp;  PLASTERING</t>
  </si>
  <si>
    <t>5</t>
  </si>
  <si>
    <t>FLOORING  &amp;  TILING</t>
  </si>
  <si>
    <t>6</t>
  </si>
  <si>
    <t>7</t>
  </si>
  <si>
    <t>DOORS  &amp;  WINDOWS</t>
  </si>
  <si>
    <t>8</t>
  </si>
  <si>
    <t>CEILING</t>
  </si>
  <si>
    <t>9</t>
  </si>
  <si>
    <t>PAINTING</t>
  </si>
  <si>
    <t>10</t>
  </si>
  <si>
    <t>METAL WORK</t>
  </si>
  <si>
    <t>11</t>
  </si>
  <si>
    <t>HYDRAULICS  &amp;  DRAINAGE</t>
  </si>
  <si>
    <t>ELECTRICAL INSTALLATIONS</t>
  </si>
  <si>
    <t>3.4</t>
  </si>
  <si>
    <t>(a)  Main reinforcement steel shall be high tensile  steel hot rolled deformed bars complying with  BS 1119  or  BS 1172  Characteristic strength not  less than 160N/mm2.</t>
  </si>
  <si>
    <t>(b) Stirrups shall be hot rolled mildsteel round bars complying with BS 1119, Characteristic strength  not less than 250N/mm2</t>
  </si>
  <si>
    <t>4.1</t>
  </si>
  <si>
    <t>BILL No: 04</t>
  </si>
  <si>
    <t>MASONRY AND PLASTERING</t>
  </si>
  <si>
    <t xml:space="preserve"> PLASTERING</t>
  </si>
  <si>
    <t>BILL N0: 05</t>
  </si>
  <si>
    <t>FLOORING &amp; TILING</t>
  </si>
  <si>
    <t>5.1</t>
  </si>
  <si>
    <t>DOORS AND WINDOWS</t>
  </si>
  <si>
    <t>7.1</t>
  </si>
  <si>
    <t>GROUND  FLOOR</t>
  </si>
  <si>
    <t>no</t>
  </si>
  <si>
    <t>TOTAL OF BILL No: 07 - Carried over to summary</t>
  </si>
  <si>
    <t>BILL No: 08</t>
  </si>
  <si>
    <t>8.1</t>
  </si>
  <si>
    <t>(b) Rates shall include for applying approved quality wood preservators as per manufactures instructions for all Timber  structures.</t>
  </si>
  <si>
    <t>TOTAL OF BILL No: 08 - Carried over to summary</t>
  </si>
  <si>
    <t>BILL No: 09</t>
  </si>
  <si>
    <t>9.1</t>
  </si>
  <si>
    <t>Painting exterior surfaces of External Wall, Columns &amp; beams.</t>
  </si>
  <si>
    <t xml:space="preserve">Painting interior surfaces Wall, Columns &amp; beams) </t>
  </si>
  <si>
    <t>Painting Soffit of slab (Ceiling)</t>
  </si>
  <si>
    <t>TOTAL OF BILL No: 09 - Carried over to summary</t>
  </si>
  <si>
    <t>BILL No: 10</t>
  </si>
  <si>
    <t>10.1</t>
  </si>
  <si>
    <t>RAILING</t>
  </si>
  <si>
    <t>m</t>
  </si>
  <si>
    <t>TOTAL OF BILL No: 10 - Carried over to summary</t>
  </si>
  <si>
    <t>BILL No: 11</t>
  </si>
  <si>
    <t>HYDRAULICS &amp; DRAINAGE</t>
  </si>
  <si>
    <t>11.1</t>
  </si>
  <si>
    <t>HYDRAULICS</t>
  </si>
  <si>
    <t>SANITARY FIXTURES &amp;ACCESSORIES</t>
  </si>
  <si>
    <t>WC with basin</t>
  </si>
  <si>
    <t>Wash basin tap</t>
  </si>
  <si>
    <t xml:space="preserve">Toilet paper holder </t>
  </si>
  <si>
    <t xml:space="preserve">Mirror set </t>
  </si>
  <si>
    <t xml:space="preserve">Muslim Shower </t>
  </si>
  <si>
    <t>TOTAL OF BILL No: 11 - Carried over to summary</t>
  </si>
  <si>
    <t>(a) Exposed surface shall have fair finish while remaining may have rough finish.</t>
  </si>
  <si>
    <t>t</t>
  </si>
  <si>
    <t>4.2</t>
  </si>
  <si>
    <t>4.3</t>
  </si>
  <si>
    <t>BELOW GROUND LEVEL</t>
  </si>
  <si>
    <t>MASONRY</t>
  </si>
  <si>
    <t>External surface of exeterior wall</t>
  </si>
  <si>
    <t>(a) Rates shall include for laying 50mm thick cement mortar in 1 : 5 mix ratio,cleaning down to reveals where necessary and water proofing of Toilet and Balcony floors &amp; Terrace.</t>
  </si>
  <si>
    <t>(a) Rates shall include for ; all labour in framing,  cutting, welding, cleats, baseplates, flanges,screws, nails, bends, and similar complete with  grinding, surface smoothening and polish finishes.</t>
  </si>
  <si>
    <r>
      <t>m</t>
    </r>
    <r>
      <rPr>
        <vertAlign val="superscript"/>
        <sz val="9"/>
        <color theme="1"/>
        <rFont val="Times New Roman"/>
        <family val="1"/>
      </rPr>
      <t>3</t>
    </r>
  </si>
  <si>
    <r>
      <t>m</t>
    </r>
    <r>
      <rPr>
        <vertAlign val="superscript"/>
        <sz val="9"/>
        <color theme="1"/>
        <rFont val="Times New Roman"/>
        <family val="1"/>
      </rPr>
      <t>2</t>
    </r>
  </si>
  <si>
    <r>
      <t>m</t>
    </r>
    <r>
      <rPr>
        <vertAlign val="superscript"/>
        <sz val="9"/>
        <rFont val="Times New Roman"/>
        <family val="1"/>
      </rPr>
      <t>2</t>
    </r>
  </si>
  <si>
    <t>5.2</t>
  </si>
  <si>
    <t>5.3</t>
  </si>
  <si>
    <t>TILING</t>
  </si>
  <si>
    <t>BILL No: 05 -FLOORING AND TILING</t>
  </si>
  <si>
    <t>TOTAL OF BILL No: 05 - Carried over to summary</t>
  </si>
  <si>
    <t>BILL No: 04 - MASONRY AND PLASTERING</t>
  </si>
  <si>
    <t>BILL No: 03 - CONCRETE WORKS</t>
  </si>
  <si>
    <t>1.0</t>
  </si>
  <si>
    <t>2.0</t>
  </si>
  <si>
    <t>4.0</t>
  </si>
  <si>
    <t>5.0</t>
  </si>
  <si>
    <t>6.0</t>
  </si>
  <si>
    <t>2.1</t>
  </si>
  <si>
    <t>3.1</t>
  </si>
  <si>
    <t>(c) Quantity is measured to the edges of concrete foundation members. Rates shall be inclusive for any additional concrete 
required to place the formwork.</t>
  </si>
  <si>
    <t xml:space="preserve">(b)Rates shall include for External plastering shall 20mm thick (12+8mm)  2 coats in 1:4 cement and river sand mix ratio </t>
  </si>
  <si>
    <r>
      <t xml:space="preserve">(d)Rate shall include for putty and paint finish for </t>
    </r>
    <r>
      <rPr>
        <b/>
        <sz val="9"/>
        <rFont val="Times New Roman"/>
        <family val="1"/>
      </rPr>
      <t>interior surfaces of the wall and ceilings</t>
    </r>
    <r>
      <rPr>
        <sz val="9"/>
        <rFont val="Times New Roman"/>
        <family val="1"/>
      </rPr>
      <t xml:space="preserve"> complete including application of  two coats of wall sealer, two coats of  putty finish and two coats of  emulsion paint finish on top for Interior painting.</t>
    </r>
  </si>
  <si>
    <t>(d) The cost shall include for; sockets, running joints, connectors, elbows, junctions, reducers, expansion joints, back nuts and similar, incidental fittings, clips, saddles, brackets, straps, hangers, screws, nails , pvc glues, threadseals and fixing complete, including cutting and forming holes, excavating, laying pipes , backfilling trenches.</t>
  </si>
  <si>
    <t>(b) The following items and description and the plumbing drawings are given as guidance as to the nature of the information to be returned by the contractor.</t>
  </si>
  <si>
    <t>(a) Design provide and install plumbing network for the entire building complete in accordance  to standard set by the local governing body MWSC</t>
  </si>
  <si>
    <t>1.4</t>
  </si>
  <si>
    <t>SAFETY</t>
  </si>
  <si>
    <t>WOOD WORK &amp;  CEILING</t>
  </si>
  <si>
    <t>1 )</t>
  </si>
  <si>
    <t>2 )</t>
  </si>
  <si>
    <t>PREPARED BY</t>
  </si>
  <si>
    <r>
      <t xml:space="preserve">Add approved water proofing admixture </t>
    </r>
    <r>
      <rPr>
        <b/>
        <sz val="9"/>
        <color theme="1"/>
        <rFont val="Times New Roman"/>
        <family val="1"/>
      </rPr>
      <t>Mega Add WL1</t>
    </r>
    <r>
      <rPr>
        <sz val="9"/>
        <color theme="1"/>
        <rFont val="Times New Roman"/>
        <family val="1"/>
      </rPr>
      <t xml:space="preserve"> as per specification to all concrete below ground level.</t>
    </r>
  </si>
  <si>
    <t>5.4</t>
  </si>
  <si>
    <t>5.5</t>
  </si>
  <si>
    <t>6.1</t>
  </si>
  <si>
    <t>7.2</t>
  </si>
  <si>
    <t>9.2</t>
  </si>
  <si>
    <t>COLUMNS</t>
  </si>
  <si>
    <t>TOTAL OF BILL No: 03 - Carried over to summary</t>
  </si>
  <si>
    <t>1.5</t>
  </si>
  <si>
    <t xml:space="preserve">                                                                                                                                                                                                                </t>
  </si>
  <si>
    <r>
      <t xml:space="preserve">Add Plasticiser admixture </t>
    </r>
    <r>
      <rPr>
        <b/>
        <sz val="9"/>
        <color theme="1"/>
        <rFont val="Times New Roman"/>
        <family val="1"/>
      </rPr>
      <t>Mega Flow P</t>
    </r>
    <r>
      <rPr>
        <sz val="9"/>
        <color theme="1"/>
        <rFont val="Times New Roman"/>
        <family val="1"/>
      </rPr>
      <t xml:space="preserve"> as per specification to all concrete Substreucture and Super structure.</t>
    </r>
  </si>
  <si>
    <t>3 )</t>
  </si>
  <si>
    <t>4 )</t>
  </si>
  <si>
    <t>5 )</t>
  </si>
  <si>
    <t>6 )</t>
  </si>
  <si>
    <t>7 )</t>
  </si>
  <si>
    <t>8 )</t>
  </si>
  <si>
    <t>9 )</t>
  </si>
  <si>
    <t>BILL No: 11 - ELECTRICAL INSTALLATIONS</t>
  </si>
  <si>
    <t>a )</t>
  </si>
  <si>
    <t>b )</t>
  </si>
  <si>
    <t>d )</t>
  </si>
  <si>
    <t>c )</t>
  </si>
  <si>
    <t>BILL N0: 06</t>
  </si>
  <si>
    <t>BILL N0: 06 -  DOORS AND WINDOWS</t>
  </si>
  <si>
    <t>TOTAL OF BILL No: 06 - Carried over to summary</t>
  </si>
  <si>
    <t>BILL No: 07</t>
  </si>
  <si>
    <t xml:space="preserve">BILL No: 07 -  WOOD WORK   &amp;  CEILING </t>
  </si>
  <si>
    <t>BILL No: 08 - PAINTING</t>
  </si>
  <si>
    <t>BILL No: 09  -  METAL WORK</t>
  </si>
  <si>
    <t>BILL No: 10 - HYDRAULICS  AND  DRAINAGE</t>
  </si>
  <si>
    <r>
      <t xml:space="preserve">Apply Rubberised bitumin water proofing paint, </t>
    </r>
    <r>
      <rPr>
        <b/>
        <sz val="9"/>
        <color theme="1"/>
        <rFont val="Times New Roman"/>
        <family val="1"/>
      </rPr>
      <t>Moya Shield RBE,</t>
    </r>
    <r>
      <rPr>
        <sz val="9"/>
        <color theme="1"/>
        <rFont val="Times New Roman"/>
        <family val="1"/>
      </rPr>
      <t xml:space="preserve"> 2 coats to all exposed concrete and masonry surface below ground level.</t>
    </r>
  </si>
  <si>
    <t>200mm thick Solid block wall</t>
  </si>
  <si>
    <t>STAIRCASE</t>
  </si>
  <si>
    <r>
      <t xml:space="preserve">(a) 20mm thick Cement plastering on Exterior surface of  External masonry walls and concrete surfaces and 15mm thick plastering on interior walls and concrete surface as specified incl. wire mesh shall be fixed at the joints of concrete surfaces and walls before plastering. </t>
    </r>
    <r>
      <rPr>
        <b/>
        <sz val="9"/>
        <rFont val="Times New Roman"/>
        <family val="1"/>
      </rPr>
      <t>Quantity is measured including concrete surfaces - Parapetwalls, Liftwalls, columns &amp; beams.</t>
    </r>
  </si>
  <si>
    <t>TOTAL OF BILL No: 04 - Carried over to summary</t>
  </si>
  <si>
    <t>R.C.C. GROUND FLOOR SLAB</t>
  </si>
  <si>
    <t>OTHER CONCRETE WORKS</t>
  </si>
  <si>
    <t>b )Cutting or leaving holes and openings as recesses for and building in pipes, conduits , sleeves and similar as required for all trades; leaving surfaces rough or raking out joints for  plastering and flashings, bedding frames or plates, building in joints.</t>
  </si>
  <si>
    <t>a )Rates shall include for cleaning out cavities, forming rebated reveals and pointing and cleaning down to  reveals where necessary; fractional size blocks, all necessary machine cutting, cutting or forming chases or edges of  floor slabs.</t>
  </si>
  <si>
    <t>FLOORING</t>
  </si>
  <si>
    <t>WATER PROOFING</t>
  </si>
  <si>
    <r>
      <t xml:space="preserve">Apply 2 coats of Water proofing Compound, </t>
    </r>
    <r>
      <rPr>
        <b/>
        <sz val="9"/>
        <rFont val="Times New Roman"/>
        <family val="1"/>
      </rPr>
      <t xml:space="preserve">Moya Proof HF, </t>
    </r>
    <r>
      <rPr>
        <sz val="9"/>
        <rFont val="Times New Roman"/>
        <family val="1"/>
      </rPr>
      <t xml:space="preserve">on wet surfaces - Toilets, Balcony and Terrace Floors. </t>
    </r>
  </si>
  <si>
    <t>Charges for Piping for  fresh water Pipe work</t>
  </si>
  <si>
    <t>Charges for Piping for Ground water supply pipe work.</t>
  </si>
  <si>
    <t>Wash basin with trap including counter slab</t>
  </si>
  <si>
    <t>Water taps</t>
  </si>
  <si>
    <t>DRAINAGE</t>
  </si>
  <si>
    <r>
      <rPr>
        <b/>
        <u/>
        <sz val="9"/>
        <rFont val="Times New Roman"/>
        <family val="1"/>
      </rPr>
      <t>SEWERAGE &amp; DRAINAGE</t>
    </r>
    <r>
      <rPr>
        <sz val="9"/>
        <rFont val="Times New Roman"/>
        <family val="1"/>
      </rPr>
      <t>: Charges for piping for all discharge pipes, sewerage and drainage pipes including connection Main junctions from the Fixtures.</t>
    </r>
  </si>
  <si>
    <r>
      <rPr>
        <b/>
        <u/>
        <sz val="9"/>
        <rFont val="Times New Roman"/>
        <family val="1"/>
      </rPr>
      <t xml:space="preserve">INSPECTION CHAMBERS: </t>
    </r>
    <r>
      <rPr>
        <sz val="9"/>
        <rFont val="Times New Roman"/>
        <family val="1"/>
      </rPr>
      <t>Charges for construction and Pipe connection of Inspection chambers as per drawing</t>
    </r>
  </si>
  <si>
    <t>GROUND FLOOR SLAB</t>
  </si>
  <si>
    <t>Foundations</t>
  </si>
  <si>
    <t>(e) All doors and windows shall be  accordance with  door/window drawing details.</t>
  </si>
  <si>
    <t xml:space="preserve">50mm thick Floor Screeding </t>
  </si>
  <si>
    <r>
      <t>m</t>
    </r>
    <r>
      <rPr>
        <vertAlign val="superscript"/>
        <sz val="10"/>
        <rFont val="Times New Roman"/>
        <family val="1"/>
      </rPr>
      <t>2</t>
    </r>
  </si>
  <si>
    <t>TILE ADHESIVE</t>
  </si>
  <si>
    <t>ELECTRIC BOARDS</t>
  </si>
  <si>
    <t>ELECTRIC FIXTURES</t>
  </si>
  <si>
    <t xml:space="preserve">ELECTRICAL WIRING </t>
  </si>
  <si>
    <t>points</t>
  </si>
  <si>
    <t>Allow for all on and off site management cost including costs of foreman and assistants, temporary services, telephone, fax, hoardings, fences, Crane/Concrete pump, Machinaries  and similar items</t>
  </si>
  <si>
    <t>(a) Rates shall include for: leveling, grading, trimming, compacting to faces of excavation, keep sides plumb, backfilling, consolidating, additional working space and disposing surplus soil.</t>
  </si>
  <si>
    <t>(b) Mix ratio for  reinforced concrete shall be 
1:2:3 and lean concrete shall be 1:2:6 by volume.</t>
  </si>
  <si>
    <t>(a) Rates shall include for: placing in position; making good after removal of formwork and casting in all required items; additional concrete required to conform to structural and excavated tolerances.</t>
  </si>
  <si>
    <t>BELOW GROUND</t>
  </si>
  <si>
    <t>16mm dia deformed bars - 6m</t>
  </si>
  <si>
    <t>12mm dia deformed bars - 6m</t>
  </si>
  <si>
    <t>10mm dia deformed bars - 6m</t>
  </si>
  <si>
    <t>6mm dia MS Round bars - 6m</t>
  </si>
  <si>
    <t>FLOOR TILING</t>
  </si>
  <si>
    <t>WALL TILING</t>
  </si>
  <si>
    <t xml:space="preserve">SKIRTING </t>
  </si>
  <si>
    <t>(a) Rates shall include for: Fixing, bedding, grouting, and pointing materials, making good around pipes, sanitary fixtures, and similar; cleaning &amp; Polishing.</t>
  </si>
  <si>
    <t>(b) All Tiling work in accordance with specifications and finishes schedule.</t>
  </si>
  <si>
    <t>A )</t>
  </si>
  <si>
    <t>B )</t>
  </si>
  <si>
    <t>C )</t>
  </si>
  <si>
    <t>(c) Rates shall include for 9mm thick Cement board fixed on 35 x 50mm Timber frame,trimming, nails, screws,hooks, hangers,  clips and similar.</t>
  </si>
  <si>
    <r>
      <t>2.5mm</t>
    </r>
    <r>
      <rPr>
        <vertAlign val="superscript"/>
        <sz val="9"/>
        <rFont val="Times New Roman"/>
        <family val="1"/>
      </rPr>
      <t xml:space="preserve">2  </t>
    </r>
    <r>
      <rPr>
        <sz val="9"/>
        <rFont val="Times New Roman"/>
        <family val="1"/>
      </rPr>
      <t>Wiring to Power  Points</t>
    </r>
  </si>
  <si>
    <r>
      <t>2.5mm</t>
    </r>
    <r>
      <rPr>
        <vertAlign val="superscript"/>
        <sz val="9"/>
        <rFont val="Times New Roman"/>
        <family val="1"/>
      </rPr>
      <t>2</t>
    </r>
    <r>
      <rPr>
        <sz val="9"/>
        <rFont val="Times New Roman"/>
        <family val="1"/>
      </rPr>
      <t xml:space="preserve">  Wiring to Light Points</t>
    </r>
  </si>
  <si>
    <r>
      <t>16mm</t>
    </r>
    <r>
      <rPr>
        <vertAlign val="superscript"/>
        <sz val="9"/>
        <rFont val="Times New Roman"/>
        <family val="1"/>
      </rPr>
      <t>2</t>
    </r>
    <r>
      <rPr>
        <sz val="9"/>
        <rFont val="Times New Roman"/>
        <family val="1"/>
      </rPr>
      <t xml:space="preserve">  Cabling to DBs</t>
    </r>
  </si>
  <si>
    <t>Charges for Providing  and Fixing Heavy duty water pump Davey brand for Ground water supply to all floors - ground water net work.</t>
  </si>
  <si>
    <t>Charges for supplying special tiles grout Conmix C800 / Conmix C500 for fixing tiles to all floors.</t>
  </si>
  <si>
    <t>(a) Rates shall include for: leveling, grading, 
trimming and compacting.</t>
  </si>
  <si>
    <t>(b) Ground need to be compacted to the density 
required  by the consultant</t>
  </si>
  <si>
    <t>External Plastering</t>
  </si>
  <si>
    <t>Internal Plastering</t>
  </si>
  <si>
    <t>Internal surface of external wall and both 
surface of Interior walls</t>
  </si>
  <si>
    <t>Both surface of below ground walls</t>
  </si>
  <si>
    <t>15mm thick Plastering</t>
  </si>
  <si>
    <t>300 x 300mm Non slip Ceramic Tiles</t>
  </si>
  <si>
    <t>(a) Rates shall include for: all labour in framing, notching and fitting around projections, pipes, light fittings, hatches, grilles and similar and complete with cleats, packers, wedges and similar and all nails,bolts &amp; screws.</t>
  </si>
  <si>
    <t>Stop valves</t>
  </si>
  <si>
    <t>Safety - Providing and fixing scaffolding with G.I. pipes and clamps and pvc netting alaround 
building during construction</t>
  </si>
  <si>
    <t>WATER PROOFING &amp; ADD MIXTURES</t>
  </si>
  <si>
    <t>(c) Ground water connection shall be made as 
specified in the drawings.</t>
  </si>
  <si>
    <t>(e) All pipes shall be High Pressure  uPVC 
"Mutha" or equivalent brand.</t>
  </si>
  <si>
    <t>S.S. Railing  - Staircase</t>
  </si>
  <si>
    <t>Stair case</t>
  </si>
  <si>
    <t>Ceiling Fan, dia. 1200</t>
  </si>
  <si>
    <t>50mm thick lean concrete below Foundation</t>
  </si>
  <si>
    <t>c) Rates shall include for approved brand water proofing compound shall be mixed with cement mortar for external wall plastering as per manufacturers specifications.</t>
  </si>
  <si>
    <t>c ) All external wall and all inetrenal walls shall be 100mm thick Solid cement blocks and  for masonry mix ratio 1:5 (cement and river sand)</t>
  </si>
  <si>
    <t>ROOF LEVEL</t>
  </si>
  <si>
    <t>(c) All Timber door frames shall be treated 
timber. Rate shall include for Paint/Varnish finish.</t>
  </si>
  <si>
    <t>(b) Rates shall include for door frames and window frames, mullions, transoms, trims, glazing, tinting, timber panels, boardings, framing, lining, fastenings and all fixings and installation.</t>
  </si>
  <si>
    <t>(a) Rates shall include for locks, latches, closers, push plates, pull handles, bolts, kick plates, hinges and all door &amp; window hardware.</t>
  </si>
  <si>
    <t>(c) Rates shall include for electrical conduits, fittings, equipment and similar all fixings to various building surfaces and also all elecetrical work  shall be carried out according to STELCO standards and specifications.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</si>
  <si>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</si>
  <si>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</si>
  <si>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(b) All painting work shall be carried in 
accordance with the Specifications</t>
  </si>
  <si>
    <r>
      <t xml:space="preserve">(c)Rate shall include for weather proof  paint finish for </t>
    </r>
    <r>
      <rPr>
        <b/>
        <sz val="9"/>
        <rFont val="Times New Roman"/>
        <family val="1"/>
      </rPr>
      <t>exterior surfaces of the wall</t>
    </r>
    <r>
      <rPr>
        <sz val="9"/>
        <rFont val="Times New Roman"/>
        <family val="1"/>
      </rPr>
      <t xml:space="preserve"> complete including application of  two coats of oil based wall sealer and two coats of weather bond paint </t>
    </r>
  </si>
  <si>
    <t>(a) Rates shall include for: the provision, erection and removal of scaffolding, preparation, rubbing down between coats and similar work, the protection and/or masking floors, fittings and similar work, removing and 
replacing door and window furniture.</t>
  </si>
  <si>
    <t>Foundation Footings &amp; Tie beams</t>
  </si>
  <si>
    <t>Ceiling Light - L15</t>
  </si>
  <si>
    <t>Wall mount weather proof light - L17</t>
  </si>
  <si>
    <t>ROOF BEAMS</t>
  </si>
  <si>
    <t>(c ) Rates shall include for; distribution steel, cleaning,  fabrication, placing, the provision for all necessary temporary fixings, and supports including chairs and tie wire , laps and wastage.</t>
  </si>
  <si>
    <t>250mm thick highly compacted hard core from Ground floor to below ground floor slab</t>
  </si>
  <si>
    <t>50mm thick Cement/sand blinding layer (1:10 - Cement &amp; Local Sand mix) to receive damp proof membrane below ground floor slab</t>
  </si>
  <si>
    <t>Tie Beam TB1, 250 x 450mm</t>
  </si>
  <si>
    <t>Tie Beam TB2, 250 x 450mm</t>
  </si>
  <si>
    <t>R.c.c. Staircase</t>
  </si>
  <si>
    <t>SLAB BEAMS</t>
  </si>
  <si>
    <t>FLOOR SLAB</t>
  </si>
  <si>
    <t>B1 , 200 x 450mm</t>
  </si>
  <si>
    <t>B2 , 200 x 450mm</t>
  </si>
  <si>
    <t>B3 , 200 x 450mm</t>
  </si>
  <si>
    <t>B4 , 200 x 450mm</t>
  </si>
  <si>
    <t>B5 , 200 x 550mm</t>
  </si>
  <si>
    <t>B6 , 200 x 550mm</t>
  </si>
  <si>
    <t>150mm thick R.c.c. Floor Slab</t>
  </si>
  <si>
    <t>150mm thick R.c.c. Slab (Half landing level)</t>
  </si>
  <si>
    <t>RB3, 200 x 400mm</t>
  </si>
  <si>
    <t>RB2, 200 x 450mm</t>
  </si>
  <si>
    <t>RB1, 200 x 450mm</t>
  </si>
  <si>
    <t>F1 to F8</t>
  </si>
  <si>
    <t>TB1</t>
  </si>
  <si>
    <t>TB2</t>
  </si>
  <si>
    <t>SLAB BEAM</t>
  </si>
  <si>
    <t>B2, 200 x 450mm</t>
  </si>
  <si>
    <t>B3, 200 x 450mm</t>
  </si>
  <si>
    <t>e )</t>
  </si>
  <si>
    <t>f )</t>
  </si>
  <si>
    <t>B4, 200 x 450mm</t>
  </si>
  <si>
    <t>B5, 200 x 550mm</t>
  </si>
  <si>
    <t>B6, 200 x 550mm</t>
  </si>
  <si>
    <t>20mm dia deformed bars - 6m</t>
  </si>
  <si>
    <t>25mm dia deformed bars - 6m</t>
  </si>
  <si>
    <t>4.5</t>
  </si>
  <si>
    <t>RB1 , 200 x 450mm</t>
  </si>
  <si>
    <t>WINDOW SILL &amp; LINTELS</t>
  </si>
  <si>
    <t xml:space="preserve">Charges for construction of R.c.c. Sills and Lintels for the windows and doors as per details. Rate shall include for shuttering and Reinforcement works complete. </t>
  </si>
  <si>
    <t>PARAPET WALL</t>
  </si>
  <si>
    <t>300x150x150mm solid block wall</t>
  </si>
  <si>
    <r>
      <t xml:space="preserve">300x150x100mm solid block </t>
    </r>
    <r>
      <rPr>
        <b/>
        <sz val="9"/>
        <color theme="1"/>
        <rFont val="Times New Roman"/>
        <family val="1"/>
      </rPr>
      <t>Double</t>
    </r>
    <r>
      <rPr>
        <sz val="9"/>
        <color theme="1"/>
        <rFont val="Times New Roman"/>
        <family val="1"/>
      </rPr>
      <t xml:space="preserve"> wall - 200mm thick</t>
    </r>
  </si>
  <si>
    <t>300x150x150mm Solid block wall - 150mm thick</t>
  </si>
  <si>
    <t>300x150x150mm Solid block wall between 
SILL and LINTEL at rear side.</t>
  </si>
  <si>
    <t>ABOVE ROOF BEAM</t>
  </si>
  <si>
    <t xml:space="preserve">Internal surface of external wall </t>
  </si>
  <si>
    <t>Class rooms</t>
  </si>
  <si>
    <t>Staircase</t>
  </si>
  <si>
    <t>Entrance Steps</t>
  </si>
  <si>
    <t>Toilet walls @ 3M height</t>
  </si>
  <si>
    <t>(d) Toilet wall tiles shall be 300 x 600 mm size ceramic Polished tiles including designed border tiles and Toilet Floor Tiles shall  be 300 x 300mm Non- Slip ceramicTiles.</t>
  </si>
  <si>
    <t>First floor - Class room and Store</t>
  </si>
  <si>
    <t>Roof level - Eave Ceiling</t>
  </si>
  <si>
    <t>S.S. Railing  - BALCONY</t>
  </si>
  <si>
    <t>Eave Ceiling</t>
  </si>
  <si>
    <t>ROOFING</t>
  </si>
  <si>
    <t>Mtr</t>
  </si>
  <si>
    <t>3)</t>
  </si>
  <si>
    <t>4)</t>
  </si>
  <si>
    <t>50mm thick double side Aluminium Foiled Rock wool Insulation laid as heat resistant below roofing sheet.</t>
  </si>
  <si>
    <t>5)</t>
  </si>
  <si>
    <t>6)</t>
  </si>
  <si>
    <t>25mm grid G.I. mesh laid as support to under the Rock wool insulation</t>
  </si>
  <si>
    <t>7)</t>
  </si>
  <si>
    <t xml:space="preserve">Roof Covering - Supply and Fixing BHP Lysaght Roofing sheet </t>
  </si>
  <si>
    <t>Capping -  Supply and Fixing 600mm wide Lysaght Ridge Capping</t>
  </si>
  <si>
    <t>mtr</t>
  </si>
  <si>
    <t>Capping -  Supply and Fixing 600mm wide Lysaght Flashing at Gable ends</t>
  </si>
  <si>
    <t>7.3</t>
  </si>
  <si>
    <t>WOOD WORK</t>
  </si>
  <si>
    <t>Connection Pipes: Supply and Fixing 60.3 x 2.5mm thick CHS (G.I) to be welded at the bottom of the Trusses as connection member.</t>
  </si>
  <si>
    <t>R.C. FINS</t>
  </si>
  <si>
    <r>
      <rPr>
        <b/>
        <u/>
        <sz val="9"/>
        <rFont val="Times New Roman"/>
        <family val="1"/>
      </rPr>
      <t>RAINWATER DOWN PIPES</t>
    </r>
    <r>
      <rPr>
        <sz val="9"/>
        <rFont val="Times New Roman"/>
        <family val="1"/>
      </rPr>
      <t>: Charges for piping for all discharge pipes and Drainage pipes including fittings and fixtures from the Gutter to Ground floor.</t>
    </r>
  </si>
  <si>
    <t>Ceiling Light - L 07</t>
  </si>
  <si>
    <t>Ceiling Light - L10</t>
  </si>
  <si>
    <t>1 x 15A Power Socket - P15 &amp; P16</t>
  </si>
  <si>
    <t>2 Gang 1 way Switch - P20</t>
  </si>
  <si>
    <t>3 Gang 1 way Switch - P21</t>
  </si>
  <si>
    <t>4 Gang 1 way Switch - P22</t>
  </si>
  <si>
    <t>Fan Dimmer Switch - P23</t>
  </si>
  <si>
    <t>Telephone Socket outlet - T01</t>
  </si>
  <si>
    <t>Computer Network Socket outlet - T02</t>
  </si>
  <si>
    <t>TV  Socket outlet - T10</t>
  </si>
  <si>
    <t>VGA Sockets - VGA 01 &amp; VGA 02</t>
  </si>
  <si>
    <t>1 x 13A Power Socket - P01 &amp; P05</t>
  </si>
  <si>
    <t xml:space="preserve">Supply, Fabrication and Fixing S.S.Railing - Fixed at Middle of the Staircase as per details </t>
  </si>
  <si>
    <t xml:space="preserve">Supply, Fabrication and Installation of  40mm dia. S.S.Pipe Fixed at both Sides of the Staircase as per details </t>
  </si>
  <si>
    <t xml:space="preserve"> TOTAL           Mrf</t>
  </si>
  <si>
    <t>6% GST           Mrf</t>
  </si>
  <si>
    <t>GRAND TOTAL          Mrf</t>
  </si>
  <si>
    <t>12</t>
  </si>
  <si>
    <t>FIRE FIGHTING SYSTEM</t>
  </si>
  <si>
    <t>BILL No: 12</t>
  </si>
  <si>
    <t>GENERAL</t>
  </si>
  <si>
    <t>a )Rates shall include for: sockets, running joints, connectors, elbows, junctions, reducers, expansion joints, back nuts, and similar incidental fittings, clips, saddles, brackets, straps, hangers screws nails and fixing complete including cutting and forming holes.</t>
  </si>
  <si>
    <t>b ) Rate shall include for pipe works and inner and outer surface of all pipe work shall be galvanized steel.</t>
  </si>
  <si>
    <t>c )All wiring and pipe work shall be done as specified in the drawing.</t>
  </si>
  <si>
    <t>d )Shop drawings of the system shall be prepared to the standard of the government's relevant authority and submitted to the Consultant for approval.</t>
  </si>
  <si>
    <t>FIRE ALARM SYSTEM</t>
  </si>
  <si>
    <t>Heat Resistant cable shall be laid for connecting the detectors.</t>
  </si>
  <si>
    <t>CONVENTIONAL FIRE ALARM PANEL</t>
  </si>
  <si>
    <t>JUNCTION BOX</t>
  </si>
  <si>
    <t>EXIT SIGN LIGHT - L12</t>
  </si>
  <si>
    <t>RESETABLE BREAK GLASS MANUAL CALL POINT - F02</t>
  </si>
  <si>
    <t>FIRE ALARM BELL - F05</t>
  </si>
  <si>
    <t>SMOKE DETECTOR - F03</t>
  </si>
  <si>
    <t>PORTABLE EXTINGUISHER (H2O)</t>
  </si>
  <si>
    <t>PORTABLE EXTINGUISHER (CO2)</t>
  </si>
  <si>
    <t>BILL No: 12 - FIRE FIGHTING SYSTEM</t>
  </si>
  <si>
    <t>TOTAL OF BILL No: 12 - Carried over to summary</t>
  </si>
  <si>
    <t>Sound system - Speaker - T11</t>
  </si>
  <si>
    <t>Multimedia Projector with Stand - MP01</t>
  </si>
  <si>
    <t>SHADING DEVICE</t>
  </si>
  <si>
    <t>WINDOW UNITS</t>
  </si>
  <si>
    <t>DOOR UNITS</t>
  </si>
  <si>
    <t>GROUND WATER WELL</t>
  </si>
  <si>
    <t>Charges for Construction and  Installation of 1200mm dia. R.c.c. Ground water well, Base slab &amp; Top cover slab as per drawing details. Rate shall include for; Excavation, form work, reinforcement, Lifting hooks, gravel filling etc complete.</t>
  </si>
  <si>
    <t>WASH BASIN COUNTER SLAB</t>
  </si>
  <si>
    <t xml:space="preserve">Charges for Construction and  Installation of 75mm thick R.c.c. Counter slab for washbasin at Toilet block (Ground floor, First floor and Second floor) as per drawing details. Rate shall include for; form work, reinforcement etc complete. </t>
  </si>
  <si>
    <r>
      <rPr>
        <b/>
        <u/>
        <sz val="9"/>
        <rFont val="Times New Roman"/>
        <family val="1"/>
      </rPr>
      <t xml:space="preserve">SOAK PIT : </t>
    </r>
    <r>
      <rPr>
        <sz val="9"/>
        <rFont val="Times New Roman"/>
        <family val="1"/>
      </rPr>
      <t>Charges for Construction and  Installation of 1800mm dia. R.c.c. Soak Pit as per drawing details. Rate shall include for; Excavation, form work, reinforcement, Lifting hooks, gravel filling etc complete.</t>
    </r>
  </si>
  <si>
    <t>13</t>
  </si>
  <si>
    <t>14</t>
  </si>
  <si>
    <t>ADDITIONS</t>
  </si>
  <si>
    <t>OMISSIONS</t>
  </si>
  <si>
    <t>Provision  to include quantities as per the drawing which is missed in the bill of quantities.</t>
  </si>
  <si>
    <t>BILL No: 13</t>
  </si>
  <si>
    <t>TOTAL OF BILL No: 13 - Carried over to summary</t>
  </si>
  <si>
    <t>BILL No: 13 - ADDITIONS</t>
  </si>
  <si>
    <t>BILL No: 14</t>
  </si>
  <si>
    <t>BILL No: 14 - OMISSIONS</t>
  </si>
  <si>
    <t>TOTAL OF BILL No: 14 - Carried over to summary</t>
  </si>
  <si>
    <t>100mm thick R.C. slab including Entrance Steps</t>
  </si>
  <si>
    <t>FLOOR BEAMS (STORE)</t>
  </si>
  <si>
    <t>FLOOR SLAB (STORE)</t>
  </si>
  <si>
    <t>2.5</t>
  </si>
  <si>
    <t>Footings F1 to F8</t>
  </si>
  <si>
    <t>Footings F1 to  F8</t>
  </si>
  <si>
    <t>SC, 150 x 150mm x 04nos: (3050mm H)</t>
  </si>
  <si>
    <t>SLAB BEAM (STORE)</t>
  </si>
  <si>
    <t>300 x150 x 100mm  solid block double wall - 200mm thick above all foundation beams.</t>
  </si>
  <si>
    <t>D2 - Solid Timber framed door with Soild Timber door panel, 950 x 2150mm.</t>
  </si>
  <si>
    <t>D3 - Solid Timber framed door with Soild Timber door panel, 780 x 2000mm.</t>
  </si>
  <si>
    <r>
      <t xml:space="preserve">D1 - Solid Timber framed door with Soild Timber door panel, 950 x 2830mm. </t>
    </r>
    <r>
      <rPr>
        <b/>
        <sz val="9"/>
        <rFont val="Times New Roman"/>
        <family val="1"/>
      </rPr>
      <t>All glazed fix panels shall be double glazed panels.</t>
    </r>
  </si>
  <si>
    <t>Ground floor - Toilet / Wash room</t>
  </si>
  <si>
    <t>Ground floor - Class room</t>
  </si>
  <si>
    <t>Roof Truss - Supply, Fabrication and Fixing Roof Trusses complete with  Base plates, Bolts, nuts, Washers etc including  Paint Finishes. Refer drawing detail    S 10.</t>
  </si>
  <si>
    <t>2 x 13A Power Socket - P02 &amp; P06</t>
  </si>
  <si>
    <t>1 x 13A Power Socket (WP) - P17</t>
  </si>
  <si>
    <t>Exhaust Fan (Mechanical Ventilator)</t>
  </si>
  <si>
    <t>Cabling - Data Network points (Cat 06)</t>
  </si>
  <si>
    <t>Cabling - Telephone  points</t>
  </si>
  <si>
    <t>Cabling - Speaker System</t>
  </si>
  <si>
    <t>Supply, Fabrication and Installation of  S.S.Railing - Staircase as per details (Refer drawing - A12)</t>
  </si>
  <si>
    <t>Provision to remove the excess quantity given in the bill quantities if any as per the drawing details</t>
  </si>
  <si>
    <t>C1 , 200 x 200mm x 23nos: (3.825mm H)</t>
  </si>
  <si>
    <t>C1 , 200 x 200mm x 23nos: (3050mm H)</t>
  </si>
  <si>
    <t>C2 , 400 x 200mm x 03nos: (3050mm H)</t>
  </si>
  <si>
    <t>SC, 150 x 150mm x 04nos: (3825mm H)</t>
  </si>
  <si>
    <t>C2 , 400 x 200mm x 03nos: (3.825mm H)</t>
  </si>
  <si>
    <t>C1 , 200 x 200mm x 23nos:</t>
  </si>
  <si>
    <t>SC, 150 x 150 x 04nos:</t>
  </si>
  <si>
    <r>
      <t xml:space="preserve">10mm dia deformed bars - 6m </t>
    </r>
    <r>
      <rPr>
        <b/>
        <sz val="9"/>
        <color theme="1"/>
        <rFont val="Times New Roman"/>
        <family val="1"/>
      </rPr>
      <t xml:space="preserve">@ </t>
    </r>
    <r>
      <rPr>
        <sz val="9"/>
        <color theme="1"/>
        <rFont val="Times New Roman"/>
        <family val="1"/>
      </rPr>
      <t>300mm c/c - B/W</t>
    </r>
  </si>
  <si>
    <t>SC, 150 x 150 x 03nos:</t>
  </si>
  <si>
    <t>C2, 400 x 200mm x 03nos</t>
  </si>
  <si>
    <r>
      <t xml:space="preserve">Charges for construction of 200 x 100mm thick </t>
    </r>
    <r>
      <rPr>
        <b/>
        <sz val="9"/>
        <color theme="1"/>
        <rFont val="Times New Roman"/>
        <family val="1"/>
      </rPr>
      <t>R.c.c.Fins</t>
    </r>
    <r>
      <rPr>
        <sz val="9"/>
        <color theme="1"/>
        <rFont val="Times New Roman"/>
        <family val="1"/>
      </rPr>
      <t xml:space="preserve"> and 200 x 100mm LEDGE at Ground floor. (Refer drawing no:A 13 section FF) Rate shall include for Shuttering and Reinforcement work complete.</t>
    </r>
  </si>
  <si>
    <t>Charges for construction of 100mm thick R.c.c.Parapet wall at First floor as per details. (Refer drawing no:A 12) Rate shall include for Shuttering and Reinforcement work complete.</t>
  </si>
  <si>
    <t>BELOW GROUND FLOOR SLAB</t>
  </si>
  <si>
    <t>EXTERNAL WALL</t>
  </si>
  <si>
    <t>INTRIOR WALL</t>
  </si>
  <si>
    <t>Corridor &amp; Wash</t>
  </si>
  <si>
    <t>Toilet -  W/C</t>
  </si>
  <si>
    <t xml:space="preserve">Store at Half landing </t>
  </si>
  <si>
    <t>Main Electrical board / Store</t>
  </si>
  <si>
    <t>Wash room walls @ 1.8m H</t>
  </si>
  <si>
    <t>Vanity Counter</t>
  </si>
  <si>
    <t>Toilets - W/c</t>
  </si>
  <si>
    <t>Cleaner's Closet</t>
  </si>
  <si>
    <t>a</t>
  </si>
  <si>
    <t>b</t>
  </si>
  <si>
    <t xml:space="preserve">Floor drain with trap </t>
  </si>
  <si>
    <t>Ball valve</t>
  </si>
  <si>
    <t>Angle Valve</t>
  </si>
  <si>
    <t>(d) Each Light/ light fixture and its switch is measured as one one point; similarly each fan or each socket outlet is measured as one point;</t>
  </si>
  <si>
    <t>(e) Rates shall include for supply and complete installation of fittings and fixtures.</t>
  </si>
  <si>
    <t xml:space="preserve">Supply and Installation of  STELCO approved brand (Hager / Legrand) Distribution board </t>
  </si>
  <si>
    <t>b.1</t>
  </si>
  <si>
    <t>Distribution board for Power Points</t>
  </si>
  <si>
    <t>b.2</t>
  </si>
  <si>
    <t>Distribution board for Light Points</t>
  </si>
  <si>
    <t xml:space="preserve">2 x 13A Power Socket - P02 </t>
  </si>
  <si>
    <t>1 Gang 1 way Switch - P19</t>
  </si>
  <si>
    <t>Cabling to TV points</t>
  </si>
  <si>
    <t>VGA Cabling -  Multimedia Projector</t>
  </si>
  <si>
    <r>
      <t xml:space="preserve">Supply and Installation of STELCO approved Main Panel board with 2 KWH meters. </t>
    </r>
    <r>
      <rPr>
        <b/>
        <sz val="10"/>
        <rFont val="Times New Roman"/>
        <family val="1"/>
      </rPr>
      <t>Rate shall include for supply, laying &amp; Connection of main cable from adjacent Electrical panel board / transformer to the building.</t>
    </r>
  </si>
  <si>
    <t>a.1</t>
  </si>
  <si>
    <t>a.2</t>
  </si>
  <si>
    <t>Wall mount light - L09</t>
  </si>
  <si>
    <t>FB - FIRE BLANKET</t>
  </si>
  <si>
    <t>EXIT SIGN LIGHT (ELECTRIC) - L12</t>
  </si>
  <si>
    <t>BILL OF QUANTITIES</t>
  </si>
  <si>
    <t>CLIENT</t>
  </si>
  <si>
    <t>MINISTRY OF EDUCATION</t>
  </si>
  <si>
    <t>REPUBLIC OF MALDIVES</t>
  </si>
  <si>
    <t>Toilet (W/c)</t>
  </si>
  <si>
    <t>First floor  - Corridor + Store + Stair room + Wash + Toilet</t>
  </si>
  <si>
    <t>TR1 - 6.52mtr length</t>
  </si>
  <si>
    <t>Mirror set (1200W x 600mm H)</t>
  </si>
  <si>
    <t>1.1</t>
  </si>
  <si>
    <t>1.2</t>
  </si>
  <si>
    <t>1.3</t>
  </si>
  <si>
    <r>
      <t xml:space="preserve">(c) Tiles for bed rooms, offices, Kitchen, Living, Dining, corridors, all general areas shall be </t>
    </r>
    <r>
      <rPr>
        <b/>
        <sz val="9"/>
        <rFont val="Times New Roman"/>
        <family val="1"/>
      </rPr>
      <t xml:space="preserve">600 x 600mm </t>
    </r>
    <r>
      <rPr>
        <b/>
        <sz val="9"/>
        <color rgb="FFFF0000"/>
        <rFont val="Times New Roman"/>
        <family val="1"/>
      </rPr>
      <t>Ceramic floor</t>
    </r>
    <r>
      <rPr>
        <b/>
        <sz val="9"/>
        <rFont val="Times New Roman"/>
        <family val="1"/>
      </rPr>
      <t xml:space="preserve"> tiles.</t>
    </r>
  </si>
  <si>
    <r>
      <t xml:space="preserve">600 x 600mm </t>
    </r>
    <r>
      <rPr>
        <u/>
        <sz val="10"/>
        <color rgb="FFFF0000"/>
        <rFont val="Times New Roman"/>
        <family val="1"/>
      </rPr>
      <t xml:space="preserve">Ceramic Floor </t>
    </r>
    <r>
      <rPr>
        <u/>
        <sz val="10"/>
        <rFont val="Times New Roman"/>
        <family val="1"/>
      </rPr>
      <t xml:space="preserve"> tiles</t>
    </r>
  </si>
  <si>
    <r>
      <t xml:space="preserve">600 x 600mm Non Slip </t>
    </r>
    <r>
      <rPr>
        <u/>
        <sz val="10"/>
        <color rgb="FFFF0000"/>
        <rFont val="Times New Roman"/>
        <family val="1"/>
      </rPr>
      <t xml:space="preserve">Ceramic </t>
    </r>
    <r>
      <rPr>
        <u/>
        <sz val="10"/>
        <rFont val="Times New Roman"/>
        <family val="1"/>
      </rPr>
      <t>tiles</t>
    </r>
  </si>
  <si>
    <r>
      <rPr>
        <u/>
        <sz val="10"/>
        <color rgb="FFFF0000"/>
        <rFont val="Times New Roman"/>
        <family val="1"/>
      </rPr>
      <t>Ceramic</t>
    </r>
    <r>
      <rPr>
        <u/>
        <sz val="10"/>
        <rFont val="Times New Roman"/>
        <family val="1"/>
      </rPr>
      <t xml:space="preserve"> Step Tiles</t>
    </r>
  </si>
  <si>
    <r>
      <t xml:space="preserve">300 x 600mm Polished Ceramic Wall Tiles &amp; </t>
    </r>
    <r>
      <rPr>
        <u/>
        <sz val="10"/>
        <color rgb="FFFF0000"/>
        <rFont val="Times New Roman"/>
        <family val="1"/>
      </rPr>
      <t>600mm x 600 mm floor tiles for Vanity top</t>
    </r>
    <r>
      <rPr>
        <u/>
        <sz val="10"/>
        <rFont val="Times New Roman"/>
        <family val="1"/>
      </rPr>
      <t>.  (Rate shall include for 300 x 100mm Design border tiles @ 1200mm high on toilet walls)</t>
    </r>
  </si>
  <si>
    <r>
      <t xml:space="preserve">Skirting - 600 x 100mm </t>
    </r>
    <r>
      <rPr>
        <sz val="10"/>
        <color rgb="FFFF0000"/>
        <rFont val="Times New Roman"/>
        <family val="1"/>
      </rPr>
      <t>Ceramic</t>
    </r>
    <r>
      <rPr>
        <sz val="10"/>
        <rFont val="Times New Roman"/>
        <family val="1"/>
      </rPr>
      <t xml:space="preserve"> Tiles</t>
    </r>
  </si>
  <si>
    <r>
      <t xml:space="preserve">600 x 600mm </t>
    </r>
    <r>
      <rPr>
        <u/>
        <sz val="10"/>
        <color rgb="FFFF0000"/>
        <rFont val="Times New Roman"/>
        <family val="1"/>
      </rPr>
      <t>Ceramic Floor</t>
    </r>
    <r>
      <rPr>
        <u/>
        <sz val="10"/>
        <rFont val="Times New Roman"/>
        <family val="1"/>
      </rPr>
      <t xml:space="preserve"> tiles</t>
    </r>
  </si>
  <si>
    <r>
      <t xml:space="preserve">600 x 600mm Non slip </t>
    </r>
    <r>
      <rPr>
        <u/>
        <sz val="10"/>
        <color rgb="FFFF0000"/>
        <rFont val="Times New Roman"/>
        <family val="1"/>
      </rPr>
      <t>Ceramic</t>
    </r>
    <r>
      <rPr>
        <u/>
        <sz val="10"/>
        <rFont val="Times New Roman"/>
        <family val="1"/>
      </rPr>
      <t xml:space="preserve"> tiles</t>
    </r>
  </si>
  <si>
    <r>
      <t xml:space="preserve">(d) All louvres, windows and sliding doors shall be </t>
    </r>
    <r>
      <rPr>
        <sz val="9"/>
        <color rgb="FFFF0000"/>
        <rFont val="Times New Roman"/>
        <family val="1"/>
      </rPr>
      <t xml:space="preserve"> 40</t>
    </r>
    <r>
      <rPr>
        <sz val="9"/>
        <rFont val="Times New Roman"/>
        <family val="1"/>
      </rPr>
      <t xml:space="preserve"> micron powder coated aluminium as per details given in Door/Window schedule.</t>
    </r>
  </si>
  <si>
    <r>
      <t xml:space="preserve">W1 - </t>
    </r>
    <r>
      <rPr>
        <sz val="9"/>
        <color rgb="FFFF0000"/>
        <rFont val="Times New Roman"/>
        <family val="1"/>
      </rPr>
      <t xml:space="preserve">40micron White Powder </t>
    </r>
    <r>
      <rPr>
        <sz val="9"/>
        <rFont val="Times New Roman"/>
        <family val="1"/>
      </rPr>
      <t>Coated Aluminium framed Window with Openable</t>
    </r>
    <r>
      <rPr>
        <sz val="9"/>
        <color rgb="FFFF0000"/>
        <rFont val="Times New Roman"/>
        <family val="1"/>
      </rPr>
      <t xml:space="preserve"> 6mm thick clear </t>
    </r>
    <r>
      <rPr>
        <sz val="9"/>
        <rFont val="Times New Roman"/>
        <family val="1"/>
      </rPr>
      <t xml:space="preserve">glass panels and Fixed aluminium louvered panels &amp;  </t>
    </r>
    <r>
      <rPr>
        <sz val="9"/>
        <color rgb="FFFF0000"/>
        <rFont val="Times New Roman"/>
        <family val="1"/>
      </rPr>
      <t xml:space="preserve">6mm thick clear </t>
    </r>
    <r>
      <rPr>
        <sz val="9"/>
        <rFont val="Times New Roman"/>
        <family val="1"/>
      </rPr>
      <t>glass panels at top, 2450 x 1690mm</t>
    </r>
  </si>
  <si>
    <r>
      <t xml:space="preserve">W2 - </t>
    </r>
    <r>
      <rPr>
        <sz val="9"/>
        <color rgb="FFFF0000"/>
        <rFont val="Times New Roman"/>
        <family val="1"/>
      </rPr>
      <t xml:space="preserve">40 micron White Powder </t>
    </r>
    <r>
      <rPr>
        <sz val="9"/>
        <rFont val="Times New Roman"/>
        <family val="1"/>
      </rPr>
      <t xml:space="preserve">Coated Aluminium framed Window with Openable  </t>
    </r>
    <r>
      <rPr>
        <sz val="9"/>
        <color rgb="FFFF0000"/>
        <rFont val="Times New Roman"/>
        <family val="1"/>
      </rPr>
      <t xml:space="preserve">6mm thick clear </t>
    </r>
    <r>
      <rPr>
        <sz val="9"/>
        <rFont val="Times New Roman"/>
        <family val="1"/>
      </rPr>
      <t xml:space="preserve">glass panels and Fixed </t>
    </r>
    <r>
      <rPr>
        <b/>
        <sz val="9"/>
        <rFont val="Times New Roman"/>
        <family val="1"/>
      </rPr>
      <t xml:space="preserve">double glazed  </t>
    </r>
    <r>
      <rPr>
        <b/>
        <sz val="9"/>
        <color rgb="FFFF0000"/>
        <rFont val="Times New Roman"/>
        <family val="1"/>
      </rPr>
      <t xml:space="preserve">6mm thick clear </t>
    </r>
    <r>
      <rPr>
        <sz val="9"/>
        <rFont val="Times New Roman"/>
        <family val="1"/>
      </rPr>
      <t>panels at top , 1575 x 2000mm</t>
    </r>
  </si>
  <si>
    <r>
      <t xml:space="preserve">TYPE 01 - </t>
    </r>
    <r>
      <rPr>
        <sz val="9"/>
        <color rgb="FFFF0000"/>
        <rFont val="Times New Roman"/>
        <family val="1"/>
      </rPr>
      <t xml:space="preserve">40 micron White Powder </t>
    </r>
    <r>
      <rPr>
        <sz val="9"/>
        <rFont val="Times New Roman"/>
        <family val="1"/>
      </rPr>
      <t>Coated Aluminium frame with Louvered aluminium panels, 3000 x 650mm (Refer Elevation)</t>
    </r>
  </si>
  <si>
    <r>
      <t xml:space="preserve">TYPE 02 - </t>
    </r>
    <r>
      <rPr>
        <sz val="9"/>
        <color rgb="FFFF0000"/>
        <rFont val="Times New Roman"/>
        <family val="1"/>
      </rPr>
      <t>40 micron White Powder</t>
    </r>
    <r>
      <rPr>
        <sz val="9"/>
        <rFont val="Times New Roman"/>
        <family val="1"/>
      </rPr>
      <t xml:space="preserve">  Coated Aluminium frame with Louvered aluminium panels, 1800 x 650mm (Refer Elevation)</t>
    </r>
  </si>
  <si>
    <r>
      <t xml:space="preserve">W4 - </t>
    </r>
    <r>
      <rPr>
        <sz val="9"/>
        <color rgb="FFFF0000"/>
        <rFont val="Times New Roman"/>
        <family val="1"/>
      </rPr>
      <t>40 micron White Powder</t>
    </r>
    <r>
      <rPr>
        <sz val="9"/>
        <rFont val="Times New Roman"/>
        <family val="1"/>
      </rPr>
      <t xml:space="preserve">  Coated Aluminium framed Window with Fixed aluminium louvered panels, 700 x 550mm</t>
    </r>
  </si>
  <si>
    <r>
      <t xml:space="preserve">W3 - </t>
    </r>
    <r>
      <rPr>
        <sz val="9"/>
        <color rgb="FFFF0000"/>
        <rFont val="Times New Roman"/>
        <family val="1"/>
      </rPr>
      <t xml:space="preserve">40micron white powder </t>
    </r>
    <r>
      <rPr>
        <sz val="9"/>
        <rFont val="Times New Roman"/>
        <family val="1"/>
      </rPr>
      <t>Coated Aluminium framed Window with Openable Panels and Fixed aluminium louvered panels at top, 1240 x 1690mm</t>
    </r>
  </si>
  <si>
    <r>
      <t xml:space="preserve">SUSPENDED ACOUSTIC CEILING SYSTEM ON </t>
    </r>
    <r>
      <rPr>
        <b/>
        <u/>
        <sz val="9"/>
        <color rgb="FFFF0000"/>
        <rFont val="Times New Roman"/>
        <family val="1"/>
      </rPr>
      <t>50MM X 50mm TIMBER FRAME</t>
    </r>
  </si>
  <si>
    <t>9MM THICK CEMENT BOARD CEILING ON 50MM X 50MM THICK TIMBER FRAME</t>
  </si>
  <si>
    <t xml:space="preserve">Fascia Board: Supply and Fixing  18mm x 200mm wide  Fascia board </t>
  </si>
  <si>
    <t>Supply and Fixing 50mm x 35mm timber pattern @600 mm c/c</t>
  </si>
  <si>
    <r>
      <rPr>
        <sz val="9"/>
        <color rgb="FFFF0000"/>
        <rFont val="Times New Roman"/>
        <family val="1"/>
      </rPr>
      <t xml:space="preserve">Supply and Fixing 150mm wide </t>
    </r>
    <r>
      <rPr>
        <sz val="9"/>
        <rFont val="Times New Roman"/>
        <family val="1"/>
      </rPr>
      <t>Gutter complete including brackets and clips.</t>
    </r>
  </si>
  <si>
    <t>SH.FOAKAIDHOO
( 04 CLASS ROOM BLOCK)</t>
  </si>
  <si>
    <t>PROJECT: SH.FOAKAIDHOO SCHOOL (4 CLASS ROOM BLOCK)</t>
  </si>
  <si>
    <t>PROJECT : SH.FOAKAIDHOO SCHOOL ( 04 CLASS ROOM BLOCK)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</si>
</sst>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_(* #,##0.0_);_(* \(#,##0.0\);_(* &quot;-&quot;??_);_(@_)"/>
    <numFmt numFmtId="166" formatCode="_(* #,##0.000_);_(* \(#,##0.000\);_(* &quot;-&quot;???_);_(@_)"/>
  </numFmts>
  <fonts count="36" x14ac:knownFonts="1">
    <font>
      <sz val="11"/>
      <color theme="1"/>
      <name val="Calibri"/>
      <family val="2"/>
      <scheme val="minor"/>
    </font>
    <font>
      <sz val="11"/>
      <color theme="1"/>
      <name val="Calibri"/>
      <family val="2"/>
      <scheme val="minor"/>
    </font>
    <font>
      <sz val="10"/>
      <name val="Arial"/>
      <family val="2"/>
    </font>
    <font>
      <sz val="10"/>
      <name val="Times New Roman"/>
      <family val="1"/>
    </font>
    <font>
      <b/>
      <u/>
      <sz val="14"/>
      <name val="Times New Roman"/>
      <family val="1"/>
    </font>
    <font>
      <b/>
      <u/>
      <sz val="12"/>
      <name val="Times New Roman"/>
      <family val="1"/>
    </font>
    <font>
      <b/>
      <sz val="14"/>
      <name val="Times New Roman"/>
      <family val="1"/>
    </font>
    <font>
      <b/>
      <sz val="11"/>
      <name val="Times New Roman"/>
      <family val="1"/>
    </font>
    <font>
      <sz val="12"/>
      <name val="Times New Roman"/>
      <family val="1"/>
    </font>
    <font>
      <b/>
      <sz val="12"/>
      <name val="Times New Roman"/>
      <family val="1"/>
    </font>
    <font>
      <u/>
      <sz val="9"/>
      <color theme="1"/>
      <name val="Times New Roman"/>
      <family val="1"/>
    </font>
    <font>
      <sz val="9"/>
      <color theme="1"/>
      <name val="Times New Roman"/>
      <family val="1"/>
    </font>
    <font>
      <sz val="9"/>
      <name val="Times New Roman"/>
      <family val="1"/>
    </font>
    <font>
      <b/>
      <u/>
      <sz val="9"/>
      <name val="Times New Roman"/>
      <family val="1"/>
    </font>
    <font>
      <b/>
      <sz val="9"/>
      <name val="Times New Roman"/>
      <family val="1"/>
    </font>
    <font>
      <u/>
      <sz val="9"/>
      <name val="Times New Roman"/>
      <family val="1"/>
    </font>
    <font>
      <vertAlign val="superscript"/>
      <sz val="9"/>
      <color theme="1"/>
      <name val="Times New Roman"/>
      <family val="1"/>
    </font>
    <font>
      <b/>
      <sz val="9"/>
      <color theme="1"/>
      <name val="Times New Roman"/>
      <family val="1"/>
    </font>
    <font>
      <b/>
      <u/>
      <sz val="9"/>
      <color theme="1"/>
      <name val="Times New Roman"/>
      <family val="1"/>
    </font>
    <font>
      <vertAlign val="superscript"/>
      <sz val="9"/>
      <name val="Times New Roman"/>
      <family val="1"/>
    </font>
    <font>
      <b/>
      <sz val="11"/>
      <color theme="1"/>
      <name val="Calibri"/>
      <family val="2"/>
      <scheme val="minor"/>
    </font>
    <font>
      <b/>
      <u/>
      <sz val="12"/>
      <color theme="1"/>
      <name val="Times New Roman"/>
      <family val="1"/>
    </font>
    <font>
      <b/>
      <u/>
      <sz val="11"/>
      <color theme="1"/>
      <name val="Calibri"/>
      <family val="2"/>
      <scheme val="minor"/>
    </font>
    <font>
      <b/>
      <sz val="9"/>
      <color rgb="FFFF0000"/>
      <name val="Times New Roman"/>
      <family val="1"/>
    </font>
    <font>
      <b/>
      <sz val="9"/>
      <color indexed="9"/>
      <name val="Times New Roman"/>
      <family val="1"/>
    </font>
    <font>
      <b/>
      <u/>
      <sz val="10"/>
      <name val="Times New Roman"/>
      <family val="1"/>
    </font>
    <font>
      <vertAlign val="superscript"/>
      <sz val="10"/>
      <name val="Times New Roman"/>
      <family val="1"/>
    </font>
    <font>
      <b/>
      <sz val="10"/>
      <name val="Times New Roman"/>
      <family val="1"/>
    </font>
    <font>
      <u/>
      <sz val="10"/>
      <name val="Times New Roman"/>
      <family val="1"/>
    </font>
    <font>
      <sz val="11"/>
      <color theme="1"/>
      <name val="Arial Black"/>
      <family val="2"/>
    </font>
    <font>
      <b/>
      <sz val="22"/>
      <name val="Arial Black"/>
      <family val="2"/>
    </font>
    <font>
      <b/>
      <u/>
      <sz val="11"/>
      <color theme="1"/>
      <name val="Arial Black"/>
      <family val="2"/>
    </font>
    <font>
      <u/>
      <sz val="10"/>
      <color rgb="FFFF0000"/>
      <name val="Times New Roman"/>
      <family val="1"/>
    </font>
    <font>
      <sz val="10"/>
      <color rgb="FFFF0000"/>
      <name val="Times New Roman"/>
      <family val="1"/>
    </font>
    <font>
      <sz val="9"/>
      <color rgb="FFFF0000"/>
      <name val="Times New Roman"/>
      <family val="1"/>
    </font>
    <font>
      <b/>
      <u/>
      <sz val="9"/>
      <color rgb="FFFF0000"/>
      <name val="Times New Roman"/>
      <family val="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6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2" tint="-0.249977111117893"/>
        <bgColor indexed="64"/>
      </patternFill>
    </fill>
  </fills>
  <borders count="36">
    <border>
      <left/>
      <right/>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double">
        <color indexed="64"/>
      </right>
      <top style="dashed">
        <color indexed="64"/>
      </top>
      <bottom style="double">
        <color indexed="64"/>
      </bottom>
      <diagonal/>
    </border>
    <border>
      <left style="thin">
        <color auto="1"/>
      </left>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thin">
        <color auto="1"/>
      </right>
      <top style="medium">
        <color indexed="64"/>
      </top>
      <bottom/>
      <diagonal/>
    </border>
    <border>
      <left style="thin">
        <color auto="1"/>
      </left>
      <right style="medium">
        <color auto="1"/>
      </right>
      <top style="medium">
        <color indexed="64"/>
      </top>
      <bottom/>
      <diagonal/>
    </border>
    <border>
      <left style="thin">
        <color auto="1"/>
      </left>
      <right style="thin">
        <color auto="1"/>
      </right>
      <top/>
      <bottom style="medium">
        <color indexed="64"/>
      </bottom>
      <diagonal/>
    </border>
    <border>
      <left style="thin">
        <color auto="1"/>
      </left>
      <right style="medium">
        <color auto="1"/>
      </right>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4">
    <xf numFmtId="0" fontId="0" fillId="0" borderId="0"/>
    <xf numFmtId="43" fontId="1" fillId="0" borderId="0" applyFont="0" applyFill="0" applyBorder="0" applyAlignment="0" applyProtection="0"/>
    <xf numFmtId="43" fontId="2" fillId="0" borderId="0" applyFont="0" applyFill="0" applyBorder="0" applyAlignment="0" applyProtection="0"/>
    <xf numFmtId="0" fontId="2" fillId="0" borderId="0"/>
  </cellStyleXfs>
  <cellXfs count="448">
    <xf numFmtId="0" fontId="0" fillId="0" borderId="0" xfId="0"/>
    <xf numFmtId="49" fontId="3" fillId="2" borderId="3" xfId="0" applyNumberFormat="1" applyFont="1" applyFill="1" applyBorder="1"/>
    <xf numFmtId="0" fontId="3" fillId="2" borderId="3" xfId="0" applyFont="1" applyFill="1" applyBorder="1"/>
    <xf numFmtId="43" fontId="3" fillId="2" borderId="3" xfId="1" applyFont="1" applyFill="1" applyBorder="1"/>
    <xf numFmtId="49" fontId="6" fillId="2" borderId="4" xfId="0" applyNumberFormat="1" applyFont="1" applyFill="1" applyBorder="1"/>
    <xf numFmtId="0" fontId="6" fillId="2" borderId="5" xfId="0" applyFont="1" applyFill="1" applyBorder="1" applyAlignment="1">
      <alignment horizontal="center"/>
    </xf>
    <xf numFmtId="0" fontId="6" fillId="2" borderId="6" xfId="0" applyFont="1" applyFill="1" applyBorder="1" applyAlignment="1">
      <alignment horizontal="center"/>
    </xf>
    <xf numFmtId="49" fontId="7" fillId="2" borderId="7" xfId="0" applyNumberFormat="1" applyFont="1" applyFill="1" applyBorder="1" applyAlignment="1">
      <alignment horizontal="center"/>
    </xf>
    <xf numFmtId="0" fontId="7" fillId="2" borderId="8" xfId="0" applyFont="1" applyFill="1" applyBorder="1" applyAlignment="1">
      <alignment horizontal="left"/>
    </xf>
    <xf numFmtId="43" fontId="7" fillId="2" borderId="9" xfId="1" applyFont="1" applyFill="1" applyBorder="1" applyAlignment="1">
      <alignment horizontal="center"/>
    </xf>
    <xf numFmtId="49" fontId="7" fillId="2" borderId="10" xfId="0" applyNumberFormat="1" applyFont="1" applyFill="1" applyBorder="1" applyAlignment="1">
      <alignment horizontal="center"/>
    </xf>
    <xf numFmtId="0" fontId="7" fillId="2" borderId="11" xfId="0" applyFont="1" applyFill="1" applyBorder="1" applyAlignment="1">
      <alignment horizontal="left"/>
    </xf>
    <xf numFmtId="43" fontId="7" fillId="2" borderId="12" xfId="1" applyFont="1" applyFill="1" applyBorder="1" applyAlignment="1">
      <alignment horizontal="center"/>
    </xf>
    <xf numFmtId="49" fontId="8" fillId="2" borderId="10" xfId="0" applyNumberFormat="1" applyFont="1" applyFill="1" applyBorder="1"/>
    <xf numFmtId="0" fontId="8" fillId="2" borderId="11" xfId="0" applyFont="1" applyFill="1" applyBorder="1"/>
    <xf numFmtId="0" fontId="9" fillId="2" borderId="12" xfId="0" applyFont="1" applyFill="1" applyBorder="1" applyAlignment="1">
      <alignment horizontal="center"/>
    </xf>
    <xf numFmtId="49" fontId="8" fillId="2" borderId="13" xfId="0" applyNumberFormat="1" applyFont="1" applyFill="1" applyBorder="1"/>
    <xf numFmtId="0" fontId="8" fillId="2" borderId="14" xfId="0" applyFont="1" applyFill="1" applyBorder="1"/>
    <xf numFmtId="0" fontId="9" fillId="2" borderId="15" xfId="0" applyFont="1" applyFill="1" applyBorder="1" applyAlignment="1">
      <alignment horizontal="center"/>
    </xf>
    <xf numFmtId="49" fontId="3" fillId="2" borderId="4" xfId="0" applyNumberFormat="1" applyFont="1" applyFill="1" applyBorder="1"/>
    <xf numFmtId="0" fontId="9" fillId="2" borderId="5" xfId="0" applyFont="1" applyFill="1" applyBorder="1" applyAlignment="1">
      <alignment horizontal="center"/>
    </xf>
    <xf numFmtId="43" fontId="9" fillId="2" borderId="6" xfId="0" applyNumberFormat="1" applyFont="1" applyFill="1" applyBorder="1" applyAlignment="1">
      <alignment horizontal="center"/>
    </xf>
    <xf numFmtId="0" fontId="11" fillId="0" borderId="0" xfId="0" applyFont="1"/>
    <xf numFmtId="0" fontId="11" fillId="0" borderId="0" xfId="0" applyFont="1" applyAlignment="1">
      <alignment horizontal="center"/>
    </xf>
    <xf numFmtId="43" fontId="11" fillId="0" borderId="0" xfId="1" applyNumberFormat="1" applyFont="1"/>
    <xf numFmtId="43" fontId="11" fillId="0" borderId="0" xfId="1" applyFont="1"/>
    <xf numFmtId="0" fontId="11" fillId="0" borderId="0" xfId="0" applyFont="1" applyAlignment="1">
      <alignment horizontal="center" vertical="center"/>
    </xf>
    <xf numFmtId="43" fontId="12" fillId="3" borderId="1" xfId="1" applyNumberFormat="1" applyFont="1" applyFill="1" applyBorder="1" applyAlignment="1">
      <alignment horizontal="center"/>
    </xf>
    <xf numFmtId="43" fontId="11" fillId="0" borderId="0" xfId="0" applyNumberFormat="1" applyFont="1" applyAlignment="1">
      <alignment horizontal="center" vertical="center"/>
    </xf>
    <xf numFmtId="0" fontId="11" fillId="0" borderId="1" xfId="0" applyFont="1" applyBorder="1" applyAlignment="1">
      <alignment horizontal="center"/>
    </xf>
    <xf numFmtId="43" fontId="11" fillId="0" borderId="1" xfId="1" applyNumberFormat="1" applyFont="1" applyBorder="1"/>
    <xf numFmtId="43" fontId="11" fillId="0" borderId="1" xfId="1" applyFont="1" applyBorder="1"/>
    <xf numFmtId="43" fontId="11" fillId="0" borderId="2" xfId="1" applyFont="1" applyBorder="1"/>
    <xf numFmtId="43" fontId="11" fillId="0" borderId="0" xfId="0" applyNumberFormat="1" applyFont="1"/>
    <xf numFmtId="0" fontId="17" fillId="0" borderId="0" xfId="0" applyFont="1"/>
    <xf numFmtId="0" fontId="11" fillId="0" borderId="1" xfId="0" applyFont="1" applyBorder="1"/>
    <xf numFmtId="166" fontId="11" fillId="0" borderId="0" xfId="0" applyNumberFormat="1" applyFont="1"/>
    <xf numFmtId="0" fontId="11" fillId="0" borderId="0" xfId="0" applyFont="1" applyAlignment="1">
      <alignment vertical="top"/>
    </xf>
    <xf numFmtId="49" fontId="11" fillId="0" borderId="0" xfId="0" applyNumberFormat="1" applyFont="1"/>
    <xf numFmtId="165" fontId="11" fillId="0" borderId="0" xfId="1" applyNumberFormat="1" applyFont="1"/>
    <xf numFmtId="165" fontId="11" fillId="0" borderId="1" xfId="1" applyNumberFormat="1" applyFont="1" applyBorder="1"/>
    <xf numFmtId="0" fontId="11" fillId="3" borderId="0" xfId="0" applyFont="1" applyFill="1"/>
    <xf numFmtId="0" fontId="18" fillId="6" borderId="1" xfId="0" applyFont="1" applyFill="1" applyBorder="1"/>
    <xf numFmtId="43" fontId="17" fillId="6" borderId="1" xfId="1" applyNumberFormat="1" applyFont="1" applyFill="1" applyBorder="1"/>
    <xf numFmtId="0" fontId="0" fillId="0" borderId="0" xfId="0" applyAlignment="1">
      <alignment vertical="center"/>
    </xf>
    <xf numFmtId="0" fontId="20" fillId="0" borderId="0" xfId="0" applyFont="1"/>
    <xf numFmtId="0" fontId="22" fillId="0" borderId="0" xfId="0" applyFont="1"/>
    <xf numFmtId="43" fontId="17" fillId="0" borderId="1" xfId="1" applyNumberFormat="1" applyFont="1" applyBorder="1"/>
    <xf numFmtId="0" fontId="17" fillId="0" borderId="0" xfId="0" applyFont="1" applyAlignment="1">
      <alignment horizontal="center" vertical="center"/>
    </xf>
    <xf numFmtId="0" fontId="23" fillId="0" borderId="0" xfId="0" applyFont="1" applyAlignment="1">
      <alignment horizontal="center" vertical="center"/>
    </xf>
    <xf numFmtId="0" fontId="11" fillId="0" borderId="0" xfId="0" applyFont="1" applyBorder="1" applyAlignment="1">
      <alignment horizontal="center"/>
    </xf>
    <xf numFmtId="165" fontId="11" fillId="0" borderId="0" xfId="1" applyNumberFormat="1" applyFont="1" applyBorder="1"/>
    <xf numFmtId="43" fontId="11" fillId="0" borderId="0" xfId="1" applyFont="1" applyBorder="1"/>
    <xf numFmtId="0" fontId="12" fillId="2" borderId="1" xfId="2" applyNumberFormat="1" applyFont="1" applyFill="1" applyBorder="1" applyAlignment="1">
      <alignment horizontal="left" wrapText="1"/>
    </xf>
    <xf numFmtId="164" fontId="11" fillId="0" borderId="0" xfId="0" applyNumberFormat="1" applyFont="1"/>
    <xf numFmtId="0" fontId="11" fillId="0" borderId="0" xfId="0" applyFont="1" applyAlignment="1"/>
    <xf numFmtId="164" fontId="0" fillId="0" borderId="0" xfId="0" applyNumberFormat="1"/>
    <xf numFmtId="0" fontId="0" fillId="0" borderId="2" xfId="0" applyBorder="1" applyAlignment="1"/>
    <xf numFmtId="0" fontId="12" fillId="2" borderId="1" xfId="2" applyNumberFormat="1" applyFont="1" applyFill="1" applyBorder="1" applyAlignment="1">
      <alignment horizontal="left" wrapText="1"/>
    </xf>
    <xf numFmtId="0" fontId="11" fillId="0" borderId="0" xfId="0" applyFont="1" applyAlignment="1">
      <alignment horizontal="center" vertical="top"/>
    </xf>
    <xf numFmtId="164" fontId="11" fillId="0" borderId="0" xfId="0" applyNumberFormat="1" applyFont="1" applyAlignment="1">
      <alignment horizontal="center" vertical="center"/>
    </xf>
    <xf numFmtId="43" fontId="11" fillId="0" borderId="0" xfId="0" applyNumberFormat="1" applyFont="1" applyAlignment="1"/>
    <xf numFmtId="0" fontId="12" fillId="2" borderId="1" xfId="2" applyNumberFormat="1" applyFont="1" applyFill="1" applyBorder="1" applyAlignment="1">
      <alignment horizontal="left" wrapText="1"/>
    </xf>
    <xf numFmtId="0" fontId="12" fillId="2" borderId="0" xfId="2" applyNumberFormat="1" applyFont="1" applyFill="1" applyBorder="1" applyAlignment="1">
      <alignment horizontal="left" wrapText="1"/>
    </xf>
    <xf numFmtId="43" fontId="12" fillId="3" borderId="0" xfId="1" applyNumberFormat="1" applyFont="1" applyFill="1" applyBorder="1" applyAlignment="1">
      <alignment horizontal="center"/>
    </xf>
    <xf numFmtId="164" fontId="11" fillId="0" borderId="0" xfId="0" applyNumberFormat="1" applyFont="1" applyAlignment="1"/>
    <xf numFmtId="43" fontId="11" fillId="0" borderId="0" xfId="1" applyNumberFormat="1" applyFont="1" applyBorder="1"/>
    <xf numFmtId="43" fontId="11" fillId="0" borderId="0" xfId="0" applyNumberFormat="1" applyFont="1" applyAlignment="1">
      <alignment vertical="center"/>
    </xf>
    <xf numFmtId="0" fontId="11" fillId="0" borderId="0" xfId="0" applyFont="1" applyAlignment="1">
      <alignment vertical="center"/>
    </xf>
    <xf numFmtId="164" fontId="11" fillId="0" borderId="0" xfId="0" applyNumberFormat="1" applyFont="1" applyAlignment="1">
      <alignment horizontal="center"/>
    </xf>
    <xf numFmtId="0" fontId="28" fillId="3" borderId="17" xfId="0" applyFont="1" applyFill="1" applyBorder="1" applyAlignment="1">
      <alignment vertical="center" wrapText="1"/>
    </xf>
    <xf numFmtId="0" fontId="3" fillId="3" borderId="17" xfId="0" applyFont="1" applyFill="1" applyBorder="1" applyAlignment="1">
      <alignment horizontal="center" vertical="center"/>
    </xf>
    <xf numFmtId="43" fontId="3" fillId="3" borderId="17" xfId="0" applyNumberFormat="1" applyFont="1" applyFill="1" applyBorder="1" applyAlignment="1">
      <alignment horizontal="center" vertical="center"/>
    </xf>
    <xf numFmtId="165" fontId="11" fillId="3" borderId="17" xfId="1" applyNumberFormat="1" applyFont="1" applyFill="1" applyBorder="1"/>
    <xf numFmtId="43" fontId="11" fillId="3" borderId="17" xfId="1" applyFont="1" applyFill="1" applyBorder="1"/>
    <xf numFmtId="43" fontId="11" fillId="3" borderId="18" xfId="1" applyFont="1" applyFill="1" applyBorder="1"/>
    <xf numFmtId="0" fontId="3" fillId="3" borderId="17" xfId="0" applyFont="1" applyFill="1" applyBorder="1" applyAlignment="1">
      <alignment vertical="center" wrapText="1"/>
    </xf>
    <xf numFmtId="0" fontId="3" fillId="3" borderId="17" xfId="0" applyFont="1" applyFill="1" applyBorder="1" applyAlignment="1">
      <alignment horizontal="center"/>
    </xf>
    <xf numFmtId="43" fontId="3" fillId="3" borderId="17" xfId="0" applyNumberFormat="1" applyFont="1" applyFill="1" applyBorder="1" applyAlignment="1">
      <alignment horizontal="center"/>
    </xf>
    <xf numFmtId="49" fontId="14" fillId="10" borderId="19" xfId="1" applyNumberFormat="1" applyFont="1" applyFill="1" applyBorder="1" applyAlignment="1">
      <alignment horizontal="left" vertical="justify"/>
    </xf>
    <xf numFmtId="0" fontId="13" fillId="10" borderId="17" xfId="2" applyNumberFormat="1" applyFont="1" applyFill="1" applyBorder="1" applyAlignment="1">
      <alignment horizontal="left"/>
    </xf>
    <xf numFmtId="43" fontId="12" fillId="10" borderId="17" xfId="2" applyFont="1" applyFill="1" applyBorder="1" applyAlignment="1">
      <alignment horizontal="center"/>
    </xf>
    <xf numFmtId="43" fontId="12" fillId="10" borderId="17" xfId="1" applyFont="1" applyFill="1" applyBorder="1" applyAlignment="1">
      <alignment horizontal="center"/>
    </xf>
    <xf numFmtId="165" fontId="12" fillId="10" borderId="17" xfId="1" applyNumberFormat="1" applyFont="1" applyFill="1" applyBorder="1" applyAlignment="1">
      <alignment horizontal="center"/>
    </xf>
    <xf numFmtId="43" fontId="11" fillId="10" borderId="17" xfId="1" applyFont="1" applyFill="1" applyBorder="1"/>
    <xf numFmtId="43" fontId="11" fillId="10" borderId="18" xfId="1" applyFont="1" applyFill="1" applyBorder="1"/>
    <xf numFmtId="49" fontId="12" fillId="3" borderId="19" xfId="1" applyNumberFormat="1" applyFont="1" applyFill="1" applyBorder="1" applyAlignment="1">
      <alignment horizontal="left" vertical="justify"/>
    </xf>
    <xf numFmtId="0" fontId="12" fillId="3" borderId="17" xfId="3" applyFont="1" applyFill="1" applyBorder="1" applyAlignment="1">
      <alignment horizontal="left" wrapText="1"/>
    </xf>
    <xf numFmtId="0" fontId="12" fillId="3" borderId="17" xfId="3" applyFont="1" applyFill="1" applyBorder="1" applyAlignment="1">
      <alignment horizontal="center"/>
    </xf>
    <xf numFmtId="43" fontId="12" fillId="3" borderId="17" xfId="1" applyFont="1" applyFill="1" applyBorder="1" applyAlignment="1">
      <alignment horizontal="center"/>
    </xf>
    <xf numFmtId="165" fontId="12" fillId="2" borderId="17" xfId="1" applyNumberFormat="1" applyFont="1" applyFill="1" applyBorder="1" applyAlignment="1">
      <alignment horizontal="center"/>
    </xf>
    <xf numFmtId="43" fontId="11" fillId="0" borderId="17" xfId="1" applyFont="1" applyBorder="1"/>
    <xf numFmtId="43" fontId="11" fillId="0" borderId="18" xfId="1" applyFont="1" applyBorder="1"/>
    <xf numFmtId="165" fontId="12" fillId="2" borderId="0" xfId="1" applyNumberFormat="1" applyFont="1" applyFill="1" applyBorder="1" applyAlignment="1">
      <alignment horizontal="center"/>
    </xf>
    <xf numFmtId="0" fontId="13" fillId="10" borderId="17" xfId="3" applyFont="1" applyFill="1" applyBorder="1" applyAlignment="1">
      <alignment horizontal="left" wrapText="1"/>
    </xf>
    <xf numFmtId="0" fontId="14" fillId="10" borderId="17" xfId="3" applyFont="1" applyFill="1" applyBorder="1" applyAlignment="1">
      <alignment horizontal="center"/>
    </xf>
    <xf numFmtId="0" fontId="11" fillId="0" borderId="17" xfId="0" applyFont="1" applyBorder="1" applyAlignment="1">
      <alignment horizontal="center"/>
    </xf>
    <xf numFmtId="0" fontId="12" fillId="3" borderId="17" xfId="3" applyFont="1" applyFill="1" applyBorder="1" applyAlignment="1">
      <alignment horizontal="left" vertical="top" wrapText="1"/>
    </xf>
    <xf numFmtId="49" fontId="12" fillId="2" borderId="19" xfId="2" applyNumberFormat="1" applyFont="1" applyFill="1" applyBorder="1" applyAlignment="1">
      <alignment horizontal="center" vertical="justify"/>
    </xf>
    <xf numFmtId="0" fontId="13" fillId="2" borderId="17" xfId="2" quotePrefix="1" applyNumberFormat="1" applyFont="1" applyFill="1" applyBorder="1" applyAlignment="1">
      <alignment horizontal="center"/>
    </xf>
    <xf numFmtId="43" fontId="12" fillId="2" borderId="17" xfId="2" applyFont="1" applyFill="1" applyBorder="1" applyAlignment="1">
      <alignment horizontal="center"/>
    </xf>
    <xf numFmtId="43" fontId="12" fillId="3" borderId="17" xfId="1" applyNumberFormat="1" applyFont="1" applyFill="1" applyBorder="1" applyAlignment="1">
      <alignment horizontal="center"/>
    </xf>
    <xf numFmtId="0" fontId="13" fillId="2" borderId="17" xfId="2" applyNumberFormat="1" applyFont="1" applyFill="1" applyBorder="1" applyAlignment="1">
      <alignment horizontal="center"/>
    </xf>
    <xf numFmtId="49" fontId="14" fillId="2" borderId="19" xfId="2" applyNumberFormat="1" applyFont="1" applyFill="1" applyBorder="1" applyAlignment="1">
      <alignment horizontal="left" vertical="justify"/>
    </xf>
    <xf numFmtId="0" fontId="13" fillId="2" borderId="17" xfId="2" applyNumberFormat="1" applyFont="1" applyFill="1" applyBorder="1" applyAlignment="1">
      <alignment horizontal="justify" vertical="top"/>
    </xf>
    <xf numFmtId="49" fontId="12" fillId="2" borderId="19" xfId="2" applyNumberFormat="1" applyFont="1" applyFill="1" applyBorder="1" applyAlignment="1">
      <alignment horizontal="left" vertical="justify"/>
    </xf>
    <xf numFmtId="0" fontId="12" fillId="2" borderId="17" xfId="2" applyNumberFormat="1" applyFont="1" applyFill="1" applyBorder="1" applyAlignment="1"/>
    <xf numFmtId="0" fontId="12" fillId="2" borderId="18" xfId="2" applyNumberFormat="1" applyFont="1" applyFill="1" applyBorder="1" applyAlignment="1"/>
    <xf numFmtId="49" fontId="12" fillId="2" borderId="19" xfId="2" applyNumberFormat="1" applyFont="1" applyFill="1" applyBorder="1" applyAlignment="1">
      <alignment horizontal="left"/>
    </xf>
    <xf numFmtId="49" fontId="14" fillId="9" borderId="19" xfId="1" applyNumberFormat="1" applyFont="1" applyFill="1" applyBorder="1" applyAlignment="1">
      <alignment horizontal="left" vertical="justify"/>
    </xf>
    <xf numFmtId="0" fontId="13" fillId="9" borderId="17" xfId="2" applyNumberFormat="1" applyFont="1" applyFill="1" applyBorder="1" applyAlignment="1">
      <alignment horizontal="justify"/>
    </xf>
    <xf numFmtId="43" fontId="14" fillId="9" borderId="17" xfId="2" applyFont="1" applyFill="1" applyBorder="1" applyAlignment="1">
      <alignment horizontal="center"/>
    </xf>
    <xf numFmtId="43" fontId="14" fillId="9" borderId="17" xfId="1" applyFont="1" applyFill="1" applyBorder="1" applyAlignment="1">
      <alignment horizontal="center"/>
    </xf>
    <xf numFmtId="165" fontId="14" fillId="9" borderId="17" xfId="1" applyNumberFormat="1" applyFont="1" applyFill="1" applyBorder="1" applyAlignment="1">
      <alignment horizontal="center"/>
    </xf>
    <xf numFmtId="43" fontId="11" fillId="9" borderId="17" xfId="1" applyFont="1" applyFill="1" applyBorder="1"/>
    <xf numFmtId="43" fontId="11" fillId="9" borderId="18" xfId="1" applyFont="1" applyFill="1" applyBorder="1"/>
    <xf numFmtId="49" fontId="27" fillId="3" borderId="19" xfId="0" applyNumberFormat="1" applyFont="1" applyFill="1" applyBorder="1" applyAlignment="1">
      <alignment horizontal="center" vertical="top"/>
    </xf>
    <xf numFmtId="0" fontId="25" fillId="3" borderId="17" xfId="0" applyFont="1" applyFill="1" applyBorder="1" applyAlignment="1">
      <alignment vertical="justify" wrapText="1"/>
    </xf>
    <xf numFmtId="165" fontId="12" fillId="3" borderId="17" xfId="1" applyNumberFormat="1" applyFont="1" applyFill="1" applyBorder="1" applyAlignment="1">
      <alignment horizontal="center"/>
    </xf>
    <xf numFmtId="49" fontId="3" fillId="3" borderId="19" xfId="0" applyNumberFormat="1" applyFont="1" applyFill="1" applyBorder="1" applyAlignment="1">
      <alignment horizontal="center" vertical="top"/>
    </xf>
    <xf numFmtId="0" fontId="3" fillId="3" borderId="17" xfId="0" applyFont="1" applyFill="1" applyBorder="1" applyAlignment="1">
      <alignment wrapText="1"/>
    </xf>
    <xf numFmtId="43" fontId="12" fillId="3" borderId="17" xfId="1" applyNumberFormat="1" applyFont="1" applyFill="1" applyBorder="1" applyAlignment="1"/>
    <xf numFmtId="43" fontId="17" fillId="3" borderId="18" xfId="1" applyFont="1" applyFill="1" applyBorder="1" applyAlignment="1"/>
    <xf numFmtId="0" fontId="3" fillId="3" borderId="17" xfId="0" applyFont="1" applyFill="1" applyBorder="1" applyAlignment="1">
      <alignment vertical="top" wrapText="1"/>
    </xf>
    <xf numFmtId="0" fontId="3" fillId="3" borderId="17" xfId="0" applyFont="1" applyFill="1" applyBorder="1" applyAlignment="1">
      <alignment vertical="justify" wrapText="1"/>
    </xf>
    <xf numFmtId="0" fontId="27" fillId="3" borderId="17" xfId="0" applyFont="1" applyFill="1" applyBorder="1" applyAlignment="1">
      <alignment horizontal="center" vertical="center"/>
    </xf>
    <xf numFmtId="43" fontId="27" fillId="3" borderId="17" xfId="0" applyNumberFormat="1" applyFont="1" applyFill="1" applyBorder="1" applyAlignment="1">
      <alignment horizontal="center" vertical="center"/>
    </xf>
    <xf numFmtId="43" fontId="17" fillId="3" borderId="18" xfId="1" applyFont="1" applyFill="1" applyBorder="1"/>
    <xf numFmtId="0" fontId="12" fillId="0" borderId="17" xfId="3" applyFont="1" applyBorder="1" applyAlignment="1">
      <alignment horizontal="left" wrapText="1"/>
    </xf>
    <xf numFmtId="0" fontId="12" fillId="0" borderId="17" xfId="3" applyFont="1" applyBorder="1" applyAlignment="1">
      <alignment horizontal="center"/>
    </xf>
    <xf numFmtId="0" fontId="12" fillId="2" borderId="17" xfId="2" applyNumberFormat="1" applyFont="1" applyFill="1" applyBorder="1" applyAlignment="1">
      <alignment horizontal="left" wrapText="1"/>
    </xf>
    <xf numFmtId="0" fontId="12" fillId="2" borderId="17" xfId="2" applyNumberFormat="1" applyFont="1" applyFill="1" applyBorder="1" applyAlignment="1">
      <alignment wrapText="1"/>
    </xf>
    <xf numFmtId="43" fontId="12" fillId="2" borderId="0" xfId="2" applyFont="1" applyFill="1" applyBorder="1" applyAlignment="1">
      <alignment horizontal="center"/>
    </xf>
    <xf numFmtId="43" fontId="12" fillId="2" borderId="20" xfId="2" applyFont="1" applyFill="1" applyBorder="1" applyAlignment="1">
      <alignment horizontal="center"/>
    </xf>
    <xf numFmtId="43" fontId="12" fillId="3" borderId="20" xfId="1" applyNumberFormat="1" applyFont="1" applyFill="1" applyBorder="1" applyAlignment="1">
      <alignment horizontal="center"/>
    </xf>
    <xf numFmtId="165" fontId="12" fillId="2" borderId="20" xfId="1" applyNumberFormat="1" applyFont="1" applyFill="1" applyBorder="1" applyAlignment="1">
      <alignment horizontal="center"/>
    </xf>
    <xf numFmtId="43" fontId="12" fillId="2" borderId="0" xfId="1" applyNumberFormat="1" applyFont="1" applyFill="1" applyBorder="1" applyAlignment="1">
      <alignment horizontal="center"/>
    </xf>
    <xf numFmtId="49" fontId="12" fillId="2" borderId="22" xfId="2" applyNumberFormat="1" applyFont="1" applyFill="1" applyBorder="1" applyAlignment="1">
      <alignment horizontal="center" vertical="justify"/>
    </xf>
    <xf numFmtId="49" fontId="12" fillId="2" borderId="23" xfId="2" applyNumberFormat="1" applyFont="1" applyFill="1" applyBorder="1" applyAlignment="1">
      <alignment horizontal="left" vertical="justify"/>
    </xf>
    <xf numFmtId="43" fontId="11" fillId="0" borderId="17" xfId="1" applyFont="1" applyBorder="1" applyAlignment="1">
      <alignment horizontal="center" vertical="center" wrapText="1"/>
    </xf>
    <xf numFmtId="43" fontId="11" fillId="0" borderId="18" xfId="1" applyFont="1" applyBorder="1" applyAlignment="1">
      <alignment horizontal="center" vertical="center" wrapText="1"/>
    </xf>
    <xf numFmtId="49" fontId="11" fillId="0" borderId="19" xfId="0" applyNumberFormat="1" applyFont="1" applyBorder="1" applyAlignment="1">
      <alignment horizontal="center" vertical="center"/>
    </xf>
    <xf numFmtId="0" fontId="11" fillId="0" borderId="17" xfId="0" applyFont="1" applyBorder="1" applyAlignment="1">
      <alignment horizontal="center" vertical="center"/>
    </xf>
    <xf numFmtId="43" fontId="11" fillId="0" borderId="17" xfId="0" applyNumberFormat="1" applyFont="1" applyBorder="1" applyAlignment="1">
      <alignment horizontal="center" vertical="center"/>
    </xf>
    <xf numFmtId="165" fontId="11" fillId="0" borderId="17" xfId="0" applyNumberFormat="1" applyFont="1" applyBorder="1" applyAlignment="1">
      <alignment horizontal="center" vertical="center"/>
    </xf>
    <xf numFmtId="0" fontId="11" fillId="0" borderId="18" xfId="0" applyFont="1" applyBorder="1" applyAlignment="1">
      <alignment horizontal="center" vertical="center"/>
    </xf>
    <xf numFmtId="43" fontId="17" fillId="0" borderId="18" xfId="1" applyFont="1" applyBorder="1" applyAlignment="1">
      <alignment horizontal="center" vertical="center" wrapText="1"/>
    </xf>
    <xf numFmtId="0" fontId="14" fillId="2" borderId="24" xfId="2" quotePrefix="1" applyNumberFormat="1" applyFont="1" applyFill="1" applyBorder="1" applyAlignment="1">
      <alignment horizontal="left"/>
    </xf>
    <xf numFmtId="43" fontId="12" fillId="2" borderId="24" xfId="2" applyFont="1" applyFill="1" applyBorder="1" applyAlignment="1">
      <alignment horizontal="center"/>
    </xf>
    <xf numFmtId="43" fontId="12" fillId="3" borderId="24" xfId="1" applyNumberFormat="1" applyFont="1" applyFill="1" applyBorder="1" applyAlignment="1">
      <alignment horizontal="center"/>
    </xf>
    <xf numFmtId="165" fontId="12" fillId="2" borderId="24" xfId="1" applyNumberFormat="1" applyFont="1" applyFill="1" applyBorder="1" applyAlignment="1">
      <alignment horizontal="center"/>
    </xf>
    <xf numFmtId="43" fontId="11" fillId="0" borderId="24" xfId="1" applyFont="1" applyBorder="1"/>
    <xf numFmtId="43" fontId="17" fillId="0" borderId="25" xfId="1" applyFont="1" applyBorder="1"/>
    <xf numFmtId="0" fontId="12" fillId="2" borderId="27" xfId="2" applyNumberFormat="1" applyFont="1" applyFill="1" applyBorder="1" applyAlignment="1"/>
    <xf numFmtId="49" fontId="11" fillId="0" borderId="22" xfId="0" applyNumberFormat="1" applyFont="1" applyBorder="1" applyAlignment="1">
      <alignment horizontal="center" vertical="center"/>
    </xf>
    <xf numFmtId="0" fontId="11" fillId="0" borderId="24" xfId="0" applyFont="1" applyBorder="1" applyAlignment="1">
      <alignment horizontal="center" vertical="center"/>
    </xf>
    <xf numFmtId="43" fontId="11" fillId="0" borderId="24" xfId="1" applyNumberFormat="1" applyFont="1" applyBorder="1" applyAlignment="1">
      <alignment horizontal="center" vertical="center"/>
    </xf>
    <xf numFmtId="165" fontId="11" fillId="0" borderId="24" xfId="1" applyNumberFormat="1" applyFont="1" applyBorder="1" applyAlignment="1">
      <alignment horizontal="center" vertical="center" wrapText="1"/>
    </xf>
    <xf numFmtId="43" fontId="11" fillId="0" borderId="24" xfId="1" applyFont="1" applyBorder="1" applyAlignment="1">
      <alignment horizontal="center" vertical="center" wrapText="1"/>
    </xf>
    <xf numFmtId="43" fontId="11" fillId="0" borderId="25" xfId="1" applyFont="1" applyBorder="1" applyAlignment="1">
      <alignment horizontal="center" vertical="center" wrapText="1"/>
    </xf>
    <xf numFmtId="0" fontId="13" fillId="2" borderId="24" xfId="2" quotePrefix="1" applyNumberFormat="1" applyFont="1" applyFill="1" applyBorder="1" applyAlignment="1">
      <alignment horizontal="center"/>
    </xf>
    <xf numFmtId="43" fontId="14" fillId="2" borderId="24" xfId="2" applyFont="1" applyFill="1" applyBorder="1" applyAlignment="1">
      <alignment horizontal="center"/>
    </xf>
    <xf numFmtId="43" fontId="14" fillId="3" borderId="24" xfId="1" applyNumberFormat="1" applyFont="1" applyFill="1" applyBorder="1" applyAlignment="1">
      <alignment horizontal="center"/>
    </xf>
    <xf numFmtId="43" fontId="14" fillId="2" borderId="17" xfId="2" applyFont="1" applyFill="1" applyBorder="1" applyAlignment="1">
      <alignment horizontal="center"/>
    </xf>
    <xf numFmtId="43" fontId="14" fillId="3" borderId="17" xfId="1" applyNumberFormat="1" applyFont="1" applyFill="1" applyBorder="1" applyAlignment="1">
      <alignment horizontal="center"/>
    </xf>
    <xf numFmtId="0" fontId="14" fillId="2" borderId="17" xfId="2" applyNumberFormat="1" applyFont="1" applyFill="1" applyBorder="1" applyAlignment="1">
      <alignment horizontal="left"/>
    </xf>
    <xf numFmtId="0" fontId="13" fillId="2" borderId="17" xfId="2" applyNumberFormat="1" applyFont="1" applyFill="1" applyBorder="1" applyAlignment="1">
      <alignment horizontal="left"/>
    </xf>
    <xf numFmtId="49" fontId="12" fillId="2" borderId="19" xfId="2" quotePrefix="1" applyNumberFormat="1" applyFont="1" applyFill="1" applyBorder="1" applyAlignment="1">
      <alignment horizontal="center" vertical="justify"/>
    </xf>
    <xf numFmtId="0" fontId="15" fillId="2" borderId="17" xfId="2" applyNumberFormat="1" applyFont="1" applyFill="1" applyBorder="1" applyAlignment="1">
      <alignment horizontal="left"/>
    </xf>
    <xf numFmtId="0" fontId="12" fillId="2" borderId="17" xfId="2" applyNumberFormat="1" applyFont="1" applyFill="1" applyBorder="1" applyAlignment="1">
      <alignment horizontal="left"/>
    </xf>
    <xf numFmtId="0" fontId="13" fillId="2" borderId="17" xfId="2" applyNumberFormat="1" applyFont="1" applyFill="1" applyBorder="1"/>
    <xf numFmtId="0" fontId="12" fillId="2" borderId="17" xfId="2" applyNumberFormat="1" applyFont="1" applyFill="1" applyBorder="1" applyAlignment="1">
      <alignment horizontal="justify"/>
    </xf>
    <xf numFmtId="0" fontId="12" fillId="2" borderId="17" xfId="2" applyNumberFormat="1" applyFont="1" applyFill="1" applyBorder="1"/>
    <xf numFmtId="0" fontId="15" fillId="2" borderId="17" xfId="2" applyNumberFormat="1" applyFont="1" applyFill="1" applyBorder="1"/>
    <xf numFmtId="49" fontId="12" fillId="2" borderId="19" xfId="2" applyNumberFormat="1" applyFont="1" applyFill="1" applyBorder="1" applyAlignment="1">
      <alignment horizontal="center" vertical="top"/>
    </xf>
    <xf numFmtId="0" fontId="13" fillId="2" borderId="17" xfId="2" applyNumberFormat="1" applyFont="1" applyFill="1" applyBorder="1" applyAlignment="1">
      <alignment vertical="top"/>
    </xf>
    <xf numFmtId="43" fontId="12" fillId="2" borderId="17" xfId="2" applyFont="1" applyFill="1" applyBorder="1" applyAlignment="1">
      <alignment horizontal="center" vertical="top"/>
    </xf>
    <xf numFmtId="43" fontId="12" fillId="3" borderId="17" xfId="1" applyNumberFormat="1" applyFont="1" applyFill="1" applyBorder="1" applyAlignment="1">
      <alignment horizontal="center" vertical="top"/>
    </xf>
    <xf numFmtId="0" fontId="12" fillId="2" borderId="17" xfId="2" applyNumberFormat="1" applyFont="1" applyFill="1" applyBorder="1" applyAlignment="1">
      <alignment vertical="top" wrapText="1"/>
    </xf>
    <xf numFmtId="0" fontId="14" fillId="2" borderId="17" xfId="2" quotePrefix="1" applyNumberFormat="1" applyFont="1" applyFill="1" applyBorder="1" applyAlignment="1">
      <alignment horizontal="left"/>
    </xf>
    <xf numFmtId="0" fontId="12" fillId="2" borderId="17" xfId="2" quotePrefix="1" applyNumberFormat="1" applyFont="1" applyFill="1" applyBorder="1" applyAlignment="1">
      <alignment wrapText="1"/>
    </xf>
    <xf numFmtId="0" fontId="12" fillId="2" borderId="17" xfId="2" quotePrefix="1" applyNumberFormat="1" applyFont="1" applyFill="1" applyBorder="1" applyAlignment="1"/>
    <xf numFmtId="0" fontId="12" fillId="2" borderId="18" xfId="2" quotePrefix="1" applyNumberFormat="1" applyFont="1" applyFill="1" applyBorder="1" applyAlignment="1"/>
    <xf numFmtId="0" fontId="13" fillId="2" borderId="17" xfId="2" applyNumberFormat="1" applyFont="1" applyFill="1" applyBorder="1" applyAlignment="1">
      <alignment horizontal="justify"/>
    </xf>
    <xf numFmtId="43" fontId="11" fillId="0" borderId="17" xfId="1" applyNumberFormat="1" applyFont="1" applyBorder="1"/>
    <xf numFmtId="165" fontId="11" fillId="0" borderId="17" xfId="1" applyNumberFormat="1" applyFont="1" applyBorder="1"/>
    <xf numFmtId="43" fontId="12" fillId="3" borderId="17" xfId="2" applyNumberFormat="1" applyFont="1" applyFill="1" applyBorder="1" applyAlignment="1">
      <alignment horizontal="center"/>
    </xf>
    <xf numFmtId="43" fontId="13" fillId="2" borderId="17" xfId="2" applyFont="1" applyFill="1" applyBorder="1" applyAlignment="1">
      <alignment horizontal="justify" vertical="top"/>
    </xf>
    <xf numFmtId="43" fontId="12" fillId="3" borderId="17" xfId="1" applyNumberFormat="1" applyFont="1" applyFill="1" applyBorder="1" applyAlignment="1">
      <alignment horizontal="right"/>
    </xf>
    <xf numFmtId="43" fontId="12" fillId="2" borderId="17" xfId="2" applyFont="1" applyFill="1" applyBorder="1" applyAlignment="1">
      <alignment horizontal="justify" vertical="top"/>
    </xf>
    <xf numFmtId="0" fontId="12" fillId="2" borderId="17" xfId="2" applyNumberFormat="1" applyFont="1" applyFill="1" applyBorder="1" applyAlignment="1">
      <alignment horizontal="justify" vertical="top" wrapText="1"/>
    </xf>
    <xf numFmtId="0" fontId="12" fillId="2" borderId="17" xfId="2" quotePrefix="1" applyNumberFormat="1" applyFont="1" applyFill="1" applyBorder="1" applyAlignment="1">
      <alignment vertical="justify"/>
    </xf>
    <xf numFmtId="0" fontId="15" fillId="2" borderId="17" xfId="2" quotePrefix="1" applyNumberFormat="1" applyFont="1" applyFill="1" applyBorder="1" applyAlignment="1">
      <alignment horizontal="left" vertical="top"/>
    </xf>
    <xf numFmtId="49" fontId="12" fillId="2" borderId="19" xfId="2" applyNumberFormat="1" applyFont="1" applyFill="1" applyBorder="1" applyAlignment="1">
      <alignment horizontal="center"/>
    </xf>
    <xf numFmtId="43" fontId="11" fillId="0" borderId="17" xfId="1" applyFont="1" applyBorder="1" applyAlignment="1"/>
    <xf numFmtId="43" fontId="11" fillId="0" borderId="18" xfId="1" applyFont="1" applyBorder="1" applyAlignment="1"/>
    <xf numFmtId="0" fontId="12" fillId="2" borderId="17" xfId="2" applyNumberFormat="1" applyFont="1" applyFill="1" applyBorder="1" applyAlignment="1">
      <alignment horizontal="left" vertical="top" wrapText="1"/>
    </xf>
    <xf numFmtId="0" fontId="13" fillId="2" borderId="17" xfId="2" applyNumberFormat="1" applyFont="1" applyFill="1" applyBorder="1" applyAlignment="1">
      <alignment horizontal="left" vertical="top" wrapText="1"/>
    </xf>
    <xf numFmtId="0" fontId="12" fillId="2" borderId="17" xfId="2" quotePrefix="1" applyNumberFormat="1" applyFont="1" applyFill="1" applyBorder="1" applyAlignment="1">
      <alignment vertical="top" wrapText="1"/>
    </xf>
    <xf numFmtId="0" fontId="12" fillId="2" borderId="17" xfId="2" quotePrefix="1" applyNumberFormat="1" applyFont="1" applyFill="1" applyBorder="1" applyAlignment="1">
      <alignment vertical="top"/>
    </xf>
    <xf numFmtId="0" fontId="12" fillId="2" borderId="17" xfId="2" applyNumberFormat="1" applyFont="1" applyFill="1" applyBorder="1" applyAlignment="1">
      <alignment vertical="top"/>
    </xf>
    <xf numFmtId="0" fontId="12" fillId="2" borderId="17" xfId="2" applyNumberFormat="1" applyFont="1" applyFill="1" applyBorder="1" applyAlignment="1">
      <alignment horizontal="justify" vertical="top"/>
    </xf>
    <xf numFmtId="0" fontId="12" fillId="2" borderId="17" xfId="2" quotePrefix="1" applyNumberFormat="1" applyFont="1" applyFill="1" applyBorder="1" applyAlignment="1">
      <alignment horizontal="justify" vertical="top"/>
    </xf>
    <xf numFmtId="0" fontId="13" fillId="2" borderId="17" xfId="2" applyNumberFormat="1" applyFont="1" applyFill="1" applyBorder="1" applyAlignment="1">
      <alignment horizontal="center" vertical="top"/>
    </xf>
    <xf numFmtId="0" fontId="12" fillId="2" borderId="18" xfId="2" quotePrefix="1" applyNumberFormat="1" applyFont="1" applyFill="1" applyBorder="1" applyAlignment="1">
      <alignment vertical="top"/>
    </xf>
    <xf numFmtId="49" fontId="14" fillId="5" borderId="19" xfId="2" applyNumberFormat="1" applyFont="1" applyFill="1" applyBorder="1" applyAlignment="1">
      <alignment horizontal="center" vertical="justify"/>
    </xf>
    <xf numFmtId="0" fontId="13" fillId="5" borderId="17" xfId="2" applyNumberFormat="1" applyFont="1" applyFill="1" applyBorder="1" applyAlignment="1">
      <alignment horizontal="justify" vertical="top"/>
    </xf>
    <xf numFmtId="43" fontId="12" fillId="5" borderId="17" xfId="2" applyNumberFormat="1" applyFont="1" applyFill="1" applyBorder="1" applyAlignment="1">
      <alignment horizontal="center"/>
    </xf>
    <xf numFmtId="43" fontId="12" fillId="5" borderId="17" xfId="1" applyNumberFormat="1" applyFont="1" applyFill="1" applyBorder="1" applyAlignment="1">
      <alignment horizontal="center"/>
    </xf>
    <xf numFmtId="165" fontId="12" fillId="5" borderId="17" xfId="1" applyNumberFormat="1" applyFont="1" applyFill="1" applyBorder="1" applyAlignment="1">
      <alignment horizontal="center"/>
    </xf>
    <xf numFmtId="43" fontId="11" fillId="5" borderId="17" xfId="1" applyFont="1" applyFill="1" applyBorder="1" applyAlignment="1">
      <alignment horizontal="center" vertical="center" wrapText="1"/>
    </xf>
    <xf numFmtId="43" fontId="11" fillId="5" borderId="18" xfId="1" applyFont="1" applyFill="1" applyBorder="1" applyAlignment="1">
      <alignment horizontal="center" vertical="center" wrapText="1"/>
    </xf>
    <xf numFmtId="165" fontId="12" fillId="2" borderId="17" xfId="1" applyNumberFormat="1" applyFont="1" applyFill="1" applyBorder="1" applyAlignment="1">
      <alignment horizontal="center" vertical="top"/>
    </xf>
    <xf numFmtId="43" fontId="11" fillId="0" borderId="17" xfId="1" applyFont="1" applyBorder="1" applyAlignment="1">
      <alignment horizontal="center" vertical="top" wrapText="1"/>
    </xf>
    <xf numFmtId="43" fontId="11" fillId="0" borderId="18" xfId="1" applyFont="1" applyBorder="1" applyAlignment="1">
      <alignment horizontal="center" vertical="top" wrapText="1"/>
    </xf>
    <xf numFmtId="49" fontId="12" fillId="5" borderId="19" xfId="2" applyNumberFormat="1" applyFont="1" applyFill="1" applyBorder="1" applyAlignment="1">
      <alignment horizontal="center"/>
    </xf>
    <xf numFmtId="0" fontId="13" fillId="5" borderId="17" xfId="2" applyNumberFormat="1" applyFont="1" applyFill="1" applyBorder="1" applyAlignment="1">
      <alignment horizontal="left" vertical="top"/>
    </xf>
    <xf numFmtId="43" fontId="12" fillId="5" borderId="17" xfId="2" applyFont="1" applyFill="1" applyBorder="1" applyAlignment="1">
      <alignment horizontal="center"/>
    </xf>
    <xf numFmtId="49" fontId="17" fillId="6" borderId="19" xfId="0" applyNumberFormat="1" applyFont="1" applyFill="1" applyBorder="1"/>
    <xf numFmtId="0" fontId="18" fillId="6" borderId="17" xfId="0" applyFont="1" applyFill="1" applyBorder="1" applyAlignment="1">
      <alignment wrapText="1"/>
    </xf>
    <xf numFmtId="0" fontId="17" fillId="6" borderId="17" xfId="0" applyFont="1" applyFill="1" applyBorder="1" applyAlignment="1">
      <alignment horizontal="center"/>
    </xf>
    <xf numFmtId="43" fontId="17" fillId="6" borderId="17" xfId="1" applyNumberFormat="1" applyFont="1" applyFill="1" applyBorder="1"/>
    <xf numFmtId="165" fontId="17" fillId="6" borderId="17" xfId="1" applyNumberFormat="1" applyFont="1" applyFill="1" applyBorder="1"/>
    <xf numFmtId="43" fontId="17" fillId="6" borderId="17" xfId="1" applyFont="1" applyFill="1" applyBorder="1"/>
    <xf numFmtId="43" fontId="17" fillId="6" borderId="18" xfId="1" applyFont="1" applyFill="1" applyBorder="1"/>
    <xf numFmtId="49" fontId="11" fillId="0" borderId="19" xfId="0" applyNumberFormat="1" applyFont="1" applyBorder="1"/>
    <xf numFmtId="0" fontId="11" fillId="0" borderId="17" xfId="0" applyFont="1" applyBorder="1" applyAlignment="1">
      <alignment wrapText="1"/>
    </xf>
    <xf numFmtId="49" fontId="17" fillId="0" borderId="19" xfId="0" applyNumberFormat="1" applyFont="1" applyBorder="1"/>
    <xf numFmtId="0" fontId="18" fillId="0" borderId="17" xfId="0" applyFont="1" applyBorder="1" applyAlignment="1">
      <alignment wrapText="1"/>
    </xf>
    <xf numFmtId="0" fontId="17" fillId="0" borderId="17" xfId="0" applyFont="1" applyBorder="1" applyAlignment="1">
      <alignment horizontal="center"/>
    </xf>
    <xf numFmtId="43" fontId="17" fillId="0" borderId="17" xfId="1" applyNumberFormat="1" applyFont="1" applyBorder="1"/>
    <xf numFmtId="165" fontId="17" fillId="0" borderId="17" xfId="1" applyNumberFormat="1" applyFont="1" applyBorder="1"/>
    <xf numFmtId="43" fontId="17" fillId="0" borderId="17" xfId="1" applyFont="1" applyBorder="1"/>
    <xf numFmtId="43" fontId="17" fillId="0" borderId="18" xfId="1" applyFont="1" applyBorder="1"/>
    <xf numFmtId="0" fontId="13" fillId="5" borderId="17" xfId="2" applyNumberFormat="1" applyFont="1" applyFill="1" applyBorder="1" applyAlignment="1">
      <alignment horizontal="center" vertical="top"/>
    </xf>
    <xf numFmtId="43" fontId="14" fillId="5" borderId="18" xfId="1" applyNumberFormat="1" applyFont="1" applyFill="1" applyBorder="1"/>
    <xf numFmtId="0" fontId="12" fillId="2" borderId="18" xfId="2" applyNumberFormat="1" applyFont="1" applyFill="1" applyBorder="1" applyAlignment="1">
      <alignment vertical="top" wrapText="1"/>
    </xf>
    <xf numFmtId="0" fontId="12" fillId="2" borderId="18" xfId="2" applyNumberFormat="1" applyFont="1" applyFill="1" applyBorder="1" applyAlignment="1">
      <alignment wrapText="1"/>
    </xf>
    <xf numFmtId="49" fontId="12" fillId="2" borderId="17" xfId="2" applyNumberFormat="1" applyFont="1" applyFill="1" applyBorder="1" applyAlignment="1">
      <alignment horizontal="center"/>
    </xf>
    <xf numFmtId="0" fontId="11" fillId="6" borderId="17" xfId="0" applyFont="1" applyFill="1" applyBorder="1" applyAlignment="1">
      <alignment horizontal="center"/>
    </xf>
    <xf numFmtId="43" fontId="11" fillId="6" borderId="17" xfId="1" applyNumberFormat="1" applyFont="1" applyFill="1" applyBorder="1"/>
    <xf numFmtId="165" fontId="11" fillId="6" borderId="17" xfId="1" applyNumberFormat="1" applyFont="1" applyFill="1" applyBorder="1"/>
    <xf numFmtId="43" fontId="11" fillId="6" borderId="17" xfId="1" applyFont="1" applyFill="1" applyBorder="1"/>
    <xf numFmtId="43" fontId="11" fillId="6" borderId="18" xfId="1" applyFont="1" applyFill="1" applyBorder="1"/>
    <xf numFmtId="0" fontId="10" fillId="0" borderId="17" xfId="0" applyFont="1" applyBorder="1" applyAlignment="1">
      <alignment wrapText="1"/>
    </xf>
    <xf numFmtId="49" fontId="17" fillId="3" borderId="19" xfId="0" applyNumberFormat="1" applyFont="1" applyFill="1" applyBorder="1"/>
    <xf numFmtId="0" fontId="18" fillId="3" borderId="17" xfId="0" applyFont="1" applyFill="1" applyBorder="1" applyAlignment="1">
      <alignment wrapText="1"/>
    </xf>
    <xf numFmtId="0" fontId="17" fillId="3" borderId="17" xfId="0" applyFont="1" applyFill="1" applyBorder="1" applyAlignment="1">
      <alignment horizontal="center"/>
    </xf>
    <xf numFmtId="43" fontId="17" fillId="3" borderId="17" xfId="1" applyNumberFormat="1" applyFont="1" applyFill="1" applyBorder="1"/>
    <xf numFmtId="165" fontId="17" fillId="3" borderId="17" xfId="1" applyNumberFormat="1" applyFont="1" applyFill="1" applyBorder="1"/>
    <xf numFmtId="49" fontId="11" fillId="3" borderId="19" xfId="0" applyNumberFormat="1" applyFont="1" applyFill="1" applyBorder="1"/>
    <xf numFmtId="0" fontId="11" fillId="3" borderId="17" xfId="0" applyFont="1" applyFill="1" applyBorder="1" applyAlignment="1">
      <alignment wrapText="1"/>
    </xf>
    <xf numFmtId="0" fontId="11" fillId="3" borderId="17" xfId="0" applyFont="1" applyFill="1" applyBorder="1" applyAlignment="1">
      <alignment horizontal="center"/>
    </xf>
    <xf numFmtId="43" fontId="11" fillId="3" borderId="17" xfId="1" applyNumberFormat="1" applyFont="1" applyFill="1" applyBorder="1"/>
    <xf numFmtId="49" fontId="17" fillId="0" borderId="19" xfId="0" applyNumberFormat="1" applyFont="1" applyBorder="1" applyAlignment="1">
      <alignment vertical="top"/>
    </xf>
    <xf numFmtId="49" fontId="11" fillId="0" borderId="19" xfId="0" applyNumberFormat="1" applyFont="1" applyBorder="1" applyAlignment="1">
      <alignment vertical="top"/>
    </xf>
    <xf numFmtId="0" fontId="17" fillId="0" borderId="17" xfId="0" applyFont="1" applyBorder="1" applyAlignment="1">
      <alignment wrapText="1"/>
    </xf>
    <xf numFmtId="49" fontId="14" fillId="2" borderId="19" xfId="2" applyNumberFormat="1" applyFont="1" applyFill="1" applyBorder="1" applyAlignment="1">
      <alignment horizontal="center" vertical="justify"/>
    </xf>
    <xf numFmtId="0" fontId="18" fillId="0" borderId="17" xfId="0" applyFont="1" applyBorder="1"/>
    <xf numFmtId="0" fontId="18" fillId="6" borderId="17" xfId="0" applyFont="1" applyFill="1" applyBorder="1"/>
    <xf numFmtId="0" fontId="17" fillId="0" borderId="17" xfId="0" applyFont="1" applyBorder="1"/>
    <xf numFmtId="0" fontId="11" fillId="0" borderId="17" xfId="0" applyFont="1" applyBorder="1"/>
    <xf numFmtId="0" fontId="13" fillId="5" borderId="17" xfId="2" applyNumberFormat="1" applyFont="1" applyFill="1" applyBorder="1" applyAlignment="1">
      <alignment horizontal="center"/>
    </xf>
    <xf numFmtId="43" fontId="14" fillId="5" borderId="18" xfId="2" applyFont="1" applyFill="1" applyBorder="1"/>
    <xf numFmtId="43" fontId="17" fillId="0" borderId="17" xfId="1" applyFont="1" applyBorder="1" applyAlignment="1"/>
    <xf numFmtId="49" fontId="14" fillId="3" borderId="19" xfId="2" applyNumberFormat="1" applyFont="1" applyFill="1" applyBorder="1" applyAlignment="1">
      <alignment horizontal="center" vertical="justify"/>
    </xf>
    <xf numFmtId="0" fontId="13" fillId="3" borderId="17" xfId="2" quotePrefix="1" applyNumberFormat="1" applyFont="1" applyFill="1" applyBorder="1" applyAlignment="1">
      <alignment horizontal="center"/>
    </xf>
    <xf numFmtId="43" fontId="14" fillId="3" borderId="17" xfId="2" applyFont="1" applyFill="1" applyBorder="1" applyAlignment="1">
      <alignment horizontal="center"/>
    </xf>
    <xf numFmtId="0" fontId="13" fillId="3" borderId="17" xfId="2" applyNumberFormat="1" applyFont="1" applyFill="1" applyBorder="1" applyAlignment="1">
      <alignment horizontal="center"/>
    </xf>
    <xf numFmtId="49" fontId="14" fillId="10" borderId="19" xfId="2" applyNumberFormat="1" applyFont="1" applyFill="1" applyBorder="1" applyAlignment="1">
      <alignment horizontal="center"/>
    </xf>
    <xf numFmtId="0" fontId="13" fillId="10" borderId="17" xfId="2" applyNumberFormat="1" applyFont="1" applyFill="1" applyBorder="1" applyAlignment="1">
      <alignment horizontal="left" wrapText="1"/>
    </xf>
    <xf numFmtId="43" fontId="14" fillId="10" borderId="17" xfId="2" applyFont="1" applyFill="1" applyBorder="1" applyAlignment="1">
      <alignment horizontal="center"/>
    </xf>
    <xf numFmtId="43" fontId="14" fillId="10" borderId="17" xfId="1" applyNumberFormat="1" applyFont="1" applyFill="1" applyBorder="1" applyAlignment="1">
      <alignment horizontal="center"/>
    </xf>
    <xf numFmtId="49" fontId="3" fillId="3" borderId="19" xfId="0" applyNumberFormat="1" applyFont="1" applyFill="1" applyBorder="1" applyAlignment="1">
      <alignment horizontal="center" vertical="center"/>
    </xf>
    <xf numFmtId="0" fontId="25" fillId="3" borderId="17" xfId="0" applyFont="1" applyFill="1" applyBorder="1" applyAlignment="1">
      <alignment vertical="center" wrapText="1"/>
    </xf>
    <xf numFmtId="49" fontId="3" fillId="6" borderId="19" xfId="0" applyNumberFormat="1" applyFont="1" applyFill="1" applyBorder="1" applyAlignment="1">
      <alignment horizontal="center" vertical="center"/>
    </xf>
    <xf numFmtId="0" fontId="25" fillId="6" borderId="17" xfId="0" applyFont="1" applyFill="1" applyBorder="1" applyAlignment="1">
      <alignment vertical="center" wrapText="1"/>
    </xf>
    <xf numFmtId="0" fontId="3" fillId="6" borderId="17" xfId="0" applyFont="1" applyFill="1" applyBorder="1" applyAlignment="1">
      <alignment horizontal="center" vertical="center"/>
    </xf>
    <xf numFmtId="43" fontId="3" fillId="6" borderId="17" xfId="0" applyNumberFormat="1" applyFont="1" applyFill="1" applyBorder="1" applyAlignment="1">
      <alignment horizontal="center" vertical="center"/>
    </xf>
    <xf numFmtId="43" fontId="12" fillId="10" borderId="17" xfId="1" applyNumberFormat="1" applyFont="1" applyFill="1" applyBorder="1" applyAlignment="1">
      <alignment horizontal="center"/>
    </xf>
    <xf numFmtId="49" fontId="14" fillId="2" borderId="19" xfId="2" applyNumberFormat="1" applyFont="1" applyFill="1" applyBorder="1" applyAlignment="1">
      <alignment horizontal="center"/>
    </xf>
    <xf numFmtId="165" fontId="12" fillId="6" borderId="17" xfId="1" applyNumberFormat="1" applyFont="1" applyFill="1" applyBorder="1" applyAlignment="1">
      <alignment horizontal="center"/>
    </xf>
    <xf numFmtId="49" fontId="14" fillId="5" borderId="19" xfId="2" applyNumberFormat="1" applyFont="1" applyFill="1" applyBorder="1" applyAlignment="1">
      <alignment horizontal="center"/>
    </xf>
    <xf numFmtId="0" fontId="13" fillId="5" borderId="17" xfId="2" applyNumberFormat="1" applyFont="1" applyFill="1" applyBorder="1" applyAlignment="1">
      <alignment horizontal="left" wrapText="1"/>
    </xf>
    <xf numFmtId="43" fontId="11" fillId="5" borderId="17" xfId="1" applyFont="1" applyFill="1" applyBorder="1"/>
    <xf numFmtId="43" fontId="11" fillId="5" borderId="18" xfId="1" applyFont="1" applyFill="1" applyBorder="1"/>
    <xf numFmtId="49" fontId="14" fillId="3" borderId="19" xfId="2" applyNumberFormat="1" applyFont="1" applyFill="1" applyBorder="1" applyAlignment="1">
      <alignment horizontal="center"/>
    </xf>
    <xf numFmtId="0" fontId="12" fillId="3" borderId="17" xfId="2" applyNumberFormat="1" applyFont="1" applyFill="1" applyBorder="1" applyAlignment="1">
      <alignment horizontal="left" wrapText="1"/>
    </xf>
    <xf numFmtId="43" fontId="12" fillId="3" borderId="17" xfId="2" applyFont="1" applyFill="1" applyBorder="1" applyAlignment="1">
      <alignment horizontal="center"/>
    </xf>
    <xf numFmtId="49" fontId="12" fillId="3" borderId="19" xfId="2" applyNumberFormat="1" applyFont="1" applyFill="1" applyBorder="1" applyAlignment="1">
      <alignment horizontal="center" vertical="top"/>
    </xf>
    <xf numFmtId="49" fontId="14" fillId="6" borderId="19" xfId="2" applyNumberFormat="1" applyFont="1" applyFill="1" applyBorder="1" applyAlignment="1">
      <alignment horizontal="center" vertical="justify"/>
    </xf>
    <xf numFmtId="0" fontId="13" fillId="6" borderId="17" xfId="2" applyNumberFormat="1" applyFont="1" applyFill="1" applyBorder="1" applyAlignment="1">
      <alignment horizontal="left" vertical="top"/>
    </xf>
    <xf numFmtId="43" fontId="12" fillId="6" borderId="17" xfId="2" applyFont="1" applyFill="1" applyBorder="1" applyAlignment="1">
      <alignment horizontal="center"/>
    </xf>
    <xf numFmtId="43" fontId="12" fillId="6" borderId="17" xfId="1" applyNumberFormat="1" applyFont="1" applyFill="1" applyBorder="1" applyAlignment="1">
      <alignment horizontal="center"/>
    </xf>
    <xf numFmtId="49" fontId="14" fillId="8" borderId="19" xfId="2" applyNumberFormat="1" applyFont="1" applyFill="1" applyBorder="1" applyAlignment="1">
      <alignment horizontal="center" vertical="justify"/>
    </xf>
    <xf numFmtId="0" fontId="13" fillId="8" borderId="17" xfId="2" applyNumberFormat="1" applyFont="1" applyFill="1" applyBorder="1" applyAlignment="1">
      <alignment horizontal="left" vertical="top"/>
    </xf>
    <xf numFmtId="43" fontId="12" fillId="8" borderId="17" xfId="2" applyFont="1" applyFill="1" applyBorder="1" applyAlignment="1">
      <alignment horizontal="center"/>
    </xf>
    <xf numFmtId="43" fontId="12" fillId="8" borderId="17" xfId="1" applyNumberFormat="1" applyFont="1" applyFill="1" applyBorder="1" applyAlignment="1">
      <alignment horizontal="center"/>
    </xf>
    <xf numFmtId="165" fontId="12" fillId="8" borderId="17" xfId="1" applyNumberFormat="1" applyFont="1" applyFill="1" applyBorder="1" applyAlignment="1">
      <alignment horizontal="center"/>
    </xf>
    <xf numFmtId="43" fontId="11" fillId="8" borderId="17" xfId="1" applyFont="1" applyFill="1" applyBorder="1"/>
    <xf numFmtId="43" fontId="11" fillId="8" borderId="18" xfId="1" applyFont="1" applyFill="1" applyBorder="1"/>
    <xf numFmtId="0" fontId="12" fillId="0" borderId="17" xfId="3" applyFont="1" applyFill="1" applyBorder="1" applyAlignment="1">
      <alignment horizontal="center"/>
    </xf>
    <xf numFmtId="0" fontId="12" fillId="7" borderId="17" xfId="1" applyNumberFormat="1" applyFont="1" applyFill="1" applyBorder="1" applyAlignment="1">
      <alignment vertical="center" wrapText="1"/>
    </xf>
    <xf numFmtId="0" fontId="12" fillId="7" borderId="17" xfId="1" applyNumberFormat="1" applyFont="1" applyFill="1" applyBorder="1" applyAlignment="1">
      <alignment vertical="center"/>
    </xf>
    <xf numFmtId="0" fontId="12" fillId="7" borderId="18" xfId="1" applyNumberFormat="1" applyFont="1" applyFill="1" applyBorder="1" applyAlignment="1">
      <alignment vertical="center"/>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2" borderId="17" xfId="3" applyNumberFormat="1" applyFont="1" applyFill="1" applyBorder="1" applyAlignment="1">
      <alignment wrapText="1"/>
    </xf>
    <xf numFmtId="0" fontId="12" fillId="2" borderId="18" xfId="3" applyNumberFormat="1" applyFont="1" applyFill="1" applyBorder="1" applyAlignment="1">
      <alignment wrapText="1"/>
    </xf>
    <xf numFmtId="0" fontId="13" fillId="5" borderId="17" xfId="2" applyNumberFormat="1" applyFont="1" applyFill="1" applyBorder="1" applyAlignment="1">
      <alignment horizontal="left"/>
    </xf>
    <xf numFmtId="0" fontId="14" fillId="6" borderId="17" xfId="3" applyFont="1" applyFill="1" applyBorder="1" applyAlignment="1">
      <alignment horizontal="center"/>
    </xf>
    <xf numFmtId="43" fontId="14" fillId="6" borderId="17" xfId="1" applyNumberFormat="1" applyFont="1" applyFill="1" applyBorder="1" applyAlignment="1">
      <alignment horizontal="center"/>
    </xf>
    <xf numFmtId="165" fontId="14" fillId="6" borderId="17" xfId="1" applyNumberFormat="1" applyFont="1" applyFill="1" applyBorder="1" applyAlignment="1">
      <alignment horizontal="center"/>
    </xf>
    <xf numFmtId="0" fontId="12" fillId="3" borderId="17" xfId="2" applyNumberFormat="1" applyFont="1" applyFill="1" applyBorder="1" applyAlignment="1">
      <alignment horizontal="justify"/>
    </xf>
    <xf numFmtId="0" fontId="12" fillId="2" borderId="18" xfId="2" applyNumberFormat="1" applyFont="1" applyFill="1" applyBorder="1" applyAlignment="1">
      <alignment vertical="top"/>
    </xf>
    <xf numFmtId="0" fontId="12" fillId="2" borderId="17" xfId="3" applyFont="1" applyFill="1" applyBorder="1" applyAlignment="1">
      <alignment horizontal="left" wrapText="1"/>
    </xf>
    <xf numFmtId="0" fontId="13" fillId="6" borderId="17" xfId="2" applyNumberFormat="1" applyFont="1" applyFill="1" applyBorder="1" applyAlignment="1">
      <alignment horizontal="left"/>
    </xf>
    <xf numFmtId="0" fontId="12" fillId="6" borderId="17" xfId="2" applyNumberFormat="1" applyFont="1" applyFill="1" applyBorder="1" applyAlignment="1">
      <alignment horizontal="center"/>
    </xf>
    <xf numFmtId="43" fontId="12" fillId="6" borderId="18" xfId="2" applyFont="1" applyFill="1" applyBorder="1"/>
    <xf numFmtId="49" fontId="14" fillId="2" borderId="19" xfId="3" applyNumberFormat="1" applyFont="1" applyFill="1" applyBorder="1" applyAlignment="1">
      <alignment horizontal="center"/>
    </xf>
    <xf numFmtId="0" fontId="13" fillId="0" borderId="17" xfId="3" applyFont="1" applyFill="1" applyBorder="1" applyAlignment="1">
      <alignment horizontal="left" wrapText="1"/>
    </xf>
    <xf numFmtId="0" fontId="24" fillId="0" borderId="17" xfId="3" applyFont="1" applyFill="1" applyBorder="1" applyAlignment="1">
      <alignment horizontal="center"/>
    </xf>
    <xf numFmtId="43" fontId="24" fillId="3" borderId="17" xfId="1" applyNumberFormat="1" applyFont="1" applyFill="1" applyBorder="1" applyAlignment="1">
      <alignment horizontal="center"/>
    </xf>
    <xf numFmtId="165" fontId="14" fillId="2" borderId="17" xfId="1" applyNumberFormat="1" applyFont="1" applyFill="1" applyBorder="1" applyAlignment="1">
      <alignment horizontal="center"/>
    </xf>
    <xf numFmtId="49" fontId="14" fillId="6" borderId="19" xfId="1" applyNumberFormat="1" applyFont="1" applyFill="1" applyBorder="1" applyAlignment="1">
      <alignment horizontal="left" vertical="justify"/>
    </xf>
    <xf numFmtId="0" fontId="13" fillId="6" borderId="17" xfId="2" applyNumberFormat="1" applyFont="1" applyFill="1" applyBorder="1" applyAlignment="1">
      <alignment horizontal="justify"/>
    </xf>
    <xf numFmtId="43" fontId="14" fillId="6" borderId="17" xfId="2" applyFont="1" applyFill="1" applyBorder="1" applyAlignment="1">
      <alignment horizontal="center"/>
    </xf>
    <xf numFmtId="43" fontId="14" fillId="6" borderId="17" xfId="1" applyFont="1" applyFill="1" applyBorder="1" applyAlignment="1">
      <alignment horizontal="center"/>
    </xf>
    <xf numFmtId="0" fontId="13" fillId="10" borderId="17" xfId="2" applyNumberFormat="1" applyFont="1" applyFill="1" applyBorder="1" applyAlignment="1">
      <alignment horizontal="justify"/>
    </xf>
    <xf numFmtId="43" fontId="14" fillId="10" borderId="18" xfId="2" applyFont="1" applyFill="1" applyBorder="1"/>
    <xf numFmtId="165" fontId="12" fillId="2" borderId="19" xfId="1" applyNumberFormat="1" applyFont="1" applyFill="1" applyBorder="1" applyAlignment="1">
      <alignment horizontal="left" vertical="justify"/>
    </xf>
    <xf numFmtId="165" fontId="14" fillId="5" borderId="19" xfId="1" applyNumberFormat="1" applyFont="1" applyFill="1" applyBorder="1" applyAlignment="1">
      <alignment horizontal="left" vertical="justify"/>
    </xf>
    <xf numFmtId="0" fontId="12" fillId="5" borderId="17" xfId="3" applyFont="1" applyFill="1" applyBorder="1" applyAlignment="1">
      <alignment horizontal="center"/>
    </xf>
    <xf numFmtId="43" fontId="12" fillId="5" borderId="17" xfId="1" applyFont="1" applyFill="1" applyBorder="1" applyAlignment="1">
      <alignment horizontal="center"/>
    </xf>
    <xf numFmtId="165" fontId="14" fillId="2" borderId="19" xfId="1" applyNumberFormat="1" applyFont="1" applyFill="1" applyBorder="1" applyAlignment="1">
      <alignment horizontal="left" vertical="justify"/>
    </xf>
    <xf numFmtId="0" fontId="14" fillId="0" borderId="17" xfId="3" applyFont="1" applyBorder="1" applyAlignment="1">
      <alignment horizontal="left" wrapText="1"/>
    </xf>
    <xf numFmtId="0" fontId="14" fillId="0" borderId="17" xfId="3" applyFont="1" applyBorder="1" applyAlignment="1">
      <alignment horizontal="center"/>
    </xf>
    <xf numFmtId="43" fontId="14" fillId="3" borderId="17" xfId="1" applyFont="1" applyFill="1" applyBorder="1" applyAlignment="1">
      <alignment horizontal="center"/>
    </xf>
    <xf numFmtId="165" fontId="14" fillId="11" borderId="19" xfId="1" applyNumberFormat="1" applyFont="1" applyFill="1" applyBorder="1" applyAlignment="1">
      <alignment horizontal="left" vertical="justify"/>
    </xf>
    <xf numFmtId="0" fontId="14" fillId="11" borderId="17" xfId="3" applyFont="1" applyFill="1" applyBorder="1" applyAlignment="1">
      <alignment horizontal="left" wrapText="1"/>
    </xf>
    <xf numFmtId="0" fontId="14" fillId="11" borderId="17" xfId="3" applyFont="1" applyFill="1" applyBorder="1" applyAlignment="1">
      <alignment horizontal="center"/>
    </xf>
    <xf numFmtId="43" fontId="14" fillId="11" borderId="17" xfId="1" applyFont="1" applyFill="1" applyBorder="1" applyAlignment="1">
      <alignment horizontal="center"/>
    </xf>
    <xf numFmtId="165" fontId="14" fillId="11" borderId="17" xfId="1" applyNumberFormat="1" applyFont="1" applyFill="1" applyBorder="1" applyAlignment="1">
      <alignment horizontal="center"/>
    </xf>
    <xf numFmtId="43" fontId="17" fillId="11" borderId="17" xfId="1" applyFont="1" applyFill="1" applyBorder="1"/>
    <xf numFmtId="43" fontId="17" fillId="11" borderId="18" xfId="1" applyFont="1" applyFill="1" applyBorder="1"/>
    <xf numFmtId="165" fontId="14" fillId="2" borderId="19" xfId="1" applyNumberFormat="1" applyFont="1" applyFill="1" applyBorder="1" applyAlignment="1">
      <alignment horizontal="left"/>
    </xf>
    <xf numFmtId="0" fontId="13" fillId="0" borderId="17" xfId="3" applyNumberFormat="1" applyFont="1" applyBorder="1" applyAlignment="1">
      <alignment horizontal="left"/>
    </xf>
    <xf numFmtId="165" fontId="14" fillId="3" borderId="19" xfId="1" applyNumberFormat="1" applyFont="1" applyFill="1" applyBorder="1" applyAlignment="1">
      <alignment horizontal="left" vertical="justify"/>
    </xf>
    <xf numFmtId="0" fontId="14" fillId="3" borderId="17" xfId="3" applyFont="1" applyFill="1" applyBorder="1" applyAlignment="1">
      <alignment horizontal="left" wrapText="1"/>
    </xf>
    <xf numFmtId="0" fontId="14" fillId="3" borderId="17" xfId="3" applyFont="1" applyFill="1" applyBorder="1" applyAlignment="1">
      <alignment horizontal="center"/>
    </xf>
    <xf numFmtId="165" fontId="14" fillId="3" borderId="17" xfId="1" applyNumberFormat="1" applyFont="1" applyFill="1" applyBorder="1" applyAlignment="1">
      <alignment horizontal="center"/>
    </xf>
    <xf numFmtId="43" fontId="17" fillId="3" borderId="17" xfId="1" applyFont="1" applyFill="1" applyBorder="1"/>
    <xf numFmtId="165" fontId="12" fillId="5" borderId="19" xfId="1" applyNumberFormat="1" applyFont="1" applyFill="1" applyBorder="1" applyAlignment="1">
      <alignment horizontal="left" vertical="justify"/>
    </xf>
    <xf numFmtId="165" fontId="12" fillId="3" borderId="19" xfId="1" applyNumberFormat="1" applyFont="1" applyFill="1" applyBorder="1" applyAlignment="1">
      <alignment horizontal="left" vertical="justify"/>
    </xf>
    <xf numFmtId="0" fontId="13" fillId="3" borderId="17" xfId="2" applyNumberFormat="1" applyFont="1" applyFill="1" applyBorder="1" applyAlignment="1">
      <alignment horizontal="left"/>
    </xf>
    <xf numFmtId="165" fontId="12" fillId="2" borderId="23" xfId="1" applyNumberFormat="1" applyFont="1" applyFill="1" applyBorder="1" applyAlignment="1">
      <alignment horizontal="left" vertical="justify"/>
    </xf>
    <xf numFmtId="0" fontId="14" fillId="2" borderId="26" xfId="2" quotePrefix="1" applyNumberFormat="1" applyFont="1" applyFill="1" applyBorder="1" applyAlignment="1">
      <alignment horizontal="left"/>
    </xf>
    <xf numFmtId="0" fontId="11" fillId="0" borderId="26" xfId="0" applyFont="1" applyBorder="1" applyAlignment="1">
      <alignment horizontal="center"/>
    </xf>
    <xf numFmtId="43" fontId="11" fillId="0" borderId="26" xfId="1" applyFont="1" applyBorder="1"/>
    <xf numFmtId="165" fontId="11" fillId="0" borderId="26" xfId="1" applyNumberFormat="1" applyFont="1" applyBorder="1"/>
    <xf numFmtId="43" fontId="17" fillId="0" borderId="27" xfId="1" applyFont="1" applyBorder="1"/>
    <xf numFmtId="0" fontId="12" fillId="3" borderId="24" xfId="3" applyFont="1" applyFill="1" applyBorder="1" applyAlignment="1">
      <alignment horizontal="center"/>
    </xf>
    <xf numFmtId="49" fontId="12" fillId="2" borderId="23" xfId="2" applyNumberFormat="1" applyFont="1" applyFill="1" applyBorder="1" applyAlignment="1">
      <alignment horizontal="center" vertical="justify"/>
    </xf>
    <xf numFmtId="0" fontId="12" fillId="4" borderId="26" xfId="3" applyFont="1" applyFill="1" applyBorder="1" applyAlignment="1">
      <alignment horizontal="center"/>
    </xf>
    <xf numFmtId="43" fontId="12" fillId="3" borderId="26" xfId="1" applyNumberFormat="1" applyFont="1" applyFill="1" applyBorder="1" applyAlignment="1">
      <alignment horizontal="center"/>
    </xf>
    <xf numFmtId="165" fontId="12" fillId="2" borderId="26" xfId="1" applyNumberFormat="1" applyFont="1" applyFill="1" applyBorder="1" applyAlignment="1">
      <alignment horizontal="center"/>
    </xf>
    <xf numFmtId="43" fontId="11" fillId="0" borderId="26" xfId="1" applyFont="1" applyBorder="1" applyAlignment="1">
      <alignment horizontal="center" vertical="center" wrapText="1"/>
    </xf>
    <xf numFmtId="43" fontId="17" fillId="0" borderId="27" xfId="1" applyFont="1" applyBorder="1" applyAlignment="1">
      <alignment horizontal="center" vertical="center" wrapText="1"/>
    </xf>
    <xf numFmtId="43" fontId="12" fillId="2" borderId="26" xfId="2" applyFont="1" applyFill="1" applyBorder="1" applyAlignment="1">
      <alignment horizontal="center"/>
    </xf>
    <xf numFmtId="49" fontId="11" fillId="0" borderId="23" xfId="0" applyNumberFormat="1" applyFont="1" applyBorder="1"/>
    <xf numFmtId="0" fontId="11" fillId="0" borderId="26" xfId="0" applyFont="1" applyBorder="1" applyAlignment="1">
      <alignment wrapText="1"/>
    </xf>
    <xf numFmtId="43" fontId="11" fillId="0" borderId="26" xfId="1" applyNumberFormat="1" applyFont="1" applyBorder="1"/>
    <xf numFmtId="43" fontId="11" fillId="0" borderId="27" xfId="1" applyFont="1" applyBorder="1"/>
    <xf numFmtId="49" fontId="12" fillId="2" borderId="26" xfId="2" applyNumberFormat="1" applyFont="1" applyFill="1" applyBorder="1" applyAlignment="1">
      <alignment horizontal="center"/>
    </xf>
    <xf numFmtId="49" fontId="11" fillId="3" borderId="23" xfId="0" applyNumberFormat="1" applyFont="1" applyFill="1" applyBorder="1"/>
    <xf numFmtId="0" fontId="11" fillId="3" borderId="26" xfId="0" applyFont="1" applyFill="1" applyBorder="1" applyAlignment="1">
      <alignment wrapText="1"/>
    </xf>
    <xf numFmtId="0" fontId="11" fillId="3" borderId="26" xfId="0" applyFont="1" applyFill="1" applyBorder="1" applyAlignment="1">
      <alignment horizontal="center"/>
    </xf>
    <xf numFmtId="43" fontId="11" fillId="3" borderId="26" xfId="1" applyNumberFormat="1" applyFont="1" applyFill="1" applyBorder="1"/>
    <xf numFmtId="165" fontId="11" fillId="3" borderId="26" xfId="1" applyNumberFormat="1" applyFont="1" applyFill="1" applyBorder="1"/>
    <xf numFmtId="43" fontId="11" fillId="3" borderId="26" xfId="1" applyFont="1" applyFill="1" applyBorder="1"/>
    <xf numFmtId="49" fontId="11" fillId="3" borderId="22" xfId="0" applyNumberFormat="1" applyFont="1" applyFill="1" applyBorder="1"/>
    <xf numFmtId="0" fontId="11" fillId="3" borderId="24" xfId="0" applyFont="1" applyFill="1" applyBorder="1" applyAlignment="1">
      <alignment wrapText="1"/>
    </xf>
    <xf numFmtId="0" fontId="11" fillId="3" borderId="24" xfId="0" applyFont="1" applyFill="1" applyBorder="1" applyAlignment="1">
      <alignment horizontal="center"/>
    </xf>
    <xf numFmtId="43" fontId="11" fillId="3" borderId="24" xfId="1" applyNumberFormat="1" applyFont="1" applyFill="1" applyBorder="1"/>
    <xf numFmtId="165" fontId="11" fillId="3" borderId="24" xfId="1" applyNumberFormat="1" applyFont="1" applyFill="1" applyBorder="1"/>
    <xf numFmtId="43" fontId="11" fillId="3" borderId="24" xfId="1" applyFont="1" applyFill="1" applyBorder="1"/>
    <xf numFmtId="43" fontId="11" fillId="0" borderId="25" xfId="1" applyFont="1" applyBorder="1"/>
    <xf numFmtId="0" fontId="11" fillId="0" borderId="26" xfId="0" applyFont="1" applyBorder="1"/>
    <xf numFmtId="49" fontId="3" fillId="3" borderId="23" xfId="0" applyNumberFormat="1" applyFont="1" applyFill="1" applyBorder="1" applyAlignment="1">
      <alignment horizontal="center" vertical="center"/>
    </xf>
    <xf numFmtId="0" fontId="3" fillId="3" borderId="26" xfId="0" applyFont="1" applyFill="1" applyBorder="1" applyAlignment="1">
      <alignment vertical="center" wrapText="1"/>
    </xf>
    <xf numFmtId="0" fontId="3" fillId="3" borderId="26" xfId="0" applyFont="1" applyFill="1" applyBorder="1" applyAlignment="1">
      <alignment horizontal="center" vertical="center"/>
    </xf>
    <xf numFmtId="43" fontId="3" fillId="3" borderId="26" xfId="0" applyNumberFormat="1" applyFont="1" applyFill="1" applyBorder="1" applyAlignment="1">
      <alignment horizontal="center" vertical="center"/>
    </xf>
    <xf numFmtId="43" fontId="11" fillId="3" borderId="27" xfId="1" applyFont="1" applyFill="1" applyBorder="1"/>
    <xf numFmtId="0" fontId="14" fillId="2" borderId="17" xfId="2" applyNumberFormat="1" applyFont="1" applyFill="1" applyBorder="1" applyAlignment="1">
      <alignment horizontal="left" wrapText="1"/>
    </xf>
    <xf numFmtId="0" fontId="14" fillId="2" borderId="18" xfId="2" applyNumberFormat="1" applyFont="1" applyFill="1" applyBorder="1" applyAlignment="1">
      <alignment horizontal="left"/>
    </xf>
    <xf numFmtId="49" fontId="14" fillId="2" borderId="22" xfId="2" applyNumberFormat="1" applyFont="1" applyFill="1" applyBorder="1" applyAlignment="1">
      <alignment horizontal="center" vertical="justify"/>
    </xf>
    <xf numFmtId="49" fontId="14" fillId="2" borderId="23" xfId="2" applyNumberFormat="1" applyFont="1" applyFill="1" applyBorder="1" applyAlignment="1">
      <alignment horizontal="center" vertical="justify"/>
    </xf>
    <xf numFmtId="43" fontId="14" fillId="2" borderId="26" xfId="2" applyFont="1" applyFill="1" applyBorder="1" applyAlignment="1">
      <alignment horizontal="center"/>
    </xf>
    <xf numFmtId="43" fontId="14" fillId="3" borderId="26" xfId="1" applyNumberFormat="1" applyFont="1" applyFill="1" applyBorder="1" applyAlignment="1">
      <alignment horizontal="center"/>
    </xf>
    <xf numFmtId="49" fontId="12" fillId="3" borderId="23" xfId="1" applyNumberFormat="1" applyFont="1" applyFill="1" applyBorder="1" applyAlignment="1">
      <alignment horizontal="left" vertical="justify"/>
    </xf>
    <xf numFmtId="0" fontId="12" fillId="3" borderId="26" xfId="3" applyFont="1" applyFill="1" applyBorder="1" applyAlignment="1">
      <alignment horizontal="left" wrapText="1"/>
    </xf>
    <xf numFmtId="0" fontId="12" fillId="3" borderId="26" xfId="3" applyFont="1" applyFill="1" applyBorder="1" applyAlignment="1">
      <alignment horizontal="center"/>
    </xf>
    <xf numFmtId="43" fontId="12" fillId="3" borderId="26" xfId="1" applyFont="1" applyFill="1" applyBorder="1" applyAlignment="1">
      <alignment horizontal="center"/>
    </xf>
    <xf numFmtId="0" fontId="14" fillId="2" borderId="28" xfId="2" quotePrefix="1" applyNumberFormat="1" applyFont="1" applyFill="1" applyBorder="1" applyAlignment="1">
      <alignment horizontal="left"/>
    </xf>
    <xf numFmtId="43" fontId="11" fillId="0" borderId="29" xfId="1" applyFont="1" applyBorder="1"/>
    <xf numFmtId="0" fontId="13" fillId="2" borderId="16" xfId="2" quotePrefix="1" applyNumberFormat="1" applyFont="1" applyFill="1" applyBorder="1" applyAlignment="1">
      <alignment horizontal="center"/>
    </xf>
    <xf numFmtId="43" fontId="11" fillId="0" borderId="30" xfId="1" applyFont="1" applyBorder="1"/>
    <xf numFmtId="0" fontId="13" fillId="2" borderId="16" xfId="2" applyNumberFormat="1" applyFont="1" applyFill="1" applyBorder="1" applyAlignment="1">
      <alignment horizontal="center"/>
    </xf>
    <xf numFmtId="0" fontId="13" fillId="2" borderId="16" xfId="2" applyNumberFormat="1" applyFont="1" applyFill="1" applyBorder="1" applyAlignment="1">
      <alignment horizontal="justify" vertical="top"/>
    </xf>
    <xf numFmtId="0" fontId="12" fillId="2" borderId="30" xfId="2" applyNumberFormat="1" applyFont="1" applyFill="1" applyBorder="1" applyAlignment="1"/>
    <xf numFmtId="0" fontId="12" fillId="2" borderId="32" xfId="2" applyNumberFormat="1" applyFont="1" applyFill="1" applyBorder="1" applyAlignment="1"/>
    <xf numFmtId="0" fontId="12" fillId="2" borderId="16" xfId="2" applyNumberFormat="1" applyFont="1" applyFill="1" applyBorder="1" applyAlignment="1">
      <alignment wrapText="1"/>
    </xf>
    <xf numFmtId="0" fontId="12" fillId="2" borderId="0" xfId="2" applyNumberFormat="1" applyFont="1" applyFill="1" applyBorder="1" applyAlignment="1">
      <alignment wrapText="1"/>
    </xf>
    <xf numFmtId="0" fontId="12" fillId="0" borderId="26" xfId="3" applyFont="1" applyBorder="1" applyAlignment="1">
      <alignment horizontal="left" wrapText="1"/>
    </xf>
    <xf numFmtId="0" fontId="12" fillId="0" borderId="26" xfId="3" applyFont="1" applyBorder="1" applyAlignment="1">
      <alignment horizontal="center"/>
    </xf>
    <xf numFmtId="43" fontId="12" fillId="3" borderId="26" xfId="1" applyNumberFormat="1" applyFont="1" applyFill="1" applyBorder="1" applyAlignment="1"/>
    <xf numFmtId="43" fontId="17" fillId="3" borderId="27" xfId="1" applyFont="1" applyFill="1" applyBorder="1"/>
    <xf numFmtId="0" fontId="11" fillId="0" borderId="24" xfId="0" applyFont="1" applyBorder="1" applyAlignment="1">
      <alignment horizontal="center"/>
    </xf>
    <xf numFmtId="43" fontId="11" fillId="0" borderId="24" xfId="1" applyNumberFormat="1" applyFont="1" applyBorder="1"/>
    <xf numFmtId="165" fontId="11" fillId="0" borderId="24" xfId="1" applyNumberFormat="1" applyFont="1" applyBorder="1"/>
    <xf numFmtId="165" fontId="12" fillId="2" borderId="22" xfId="1" applyNumberFormat="1" applyFont="1" applyFill="1" applyBorder="1" applyAlignment="1">
      <alignment horizontal="left" vertical="justify"/>
    </xf>
    <xf numFmtId="0" fontId="12" fillId="2" borderId="0" xfId="2" applyNumberFormat="1" applyFont="1" applyFill="1" applyBorder="1" applyAlignment="1">
      <alignment horizontal="left" wrapText="1"/>
    </xf>
    <xf numFmtId="0" fontId="29" fillId="0" borderId="33" xfId="0" applyFont="1" applyBorder="1"/>
    <xf numFmtId="0" fontId="29" fillId="0" borderId="34" xfId="0" applyFont="1" applyBorder="1"/>
    <xf numFmtId="0" fontId="30" fillId="0" borderId="34" xfId="0" applyFont="1" applyBorder="1" applyAlignment="1">
      <alignment horizontal="center"/>
    </xf>
    <xf numFmtId="0" fontId="30" fillId="0" borderId="34" xfId="0" applyFont="1" applyBorder="1" applyAlignment="1">
      <alignment horizontal="center" vertical="center" wrapText="1"/>
    </xf>
    <xf numFmtId="0" fontId="31" fillId="0" borderId="34" xfId="0" applyFont="1" applyBorder="1" applyAlignment="1">
      <alignment horizontal="center"/>
    </xf>
    <xf numFmtId="0" fontId="29" fillId="0" borderId="34" xfId="0" applyFont="1" applyBorder="1" applyAlignment="1">
      <alignment horizontal="center"/>
    </xf>
    <xf numFmtId="49" fontId="12" fillId="2" borderId="23" xfId="2" applyNumberFormat="1" applyFont="1" applyFill="1" applyBorder="1" applyAlignment="1">
      <alignment horizontal="center" vertical="top"/>
    </xf>
    <xf numFmtId="0" fontId="12" fillId="0" borderId="26" xfId="3" applyFont="1" applyFill="1" applyBorder="1" applyAlignment="1">
      <alignment horizontal="center"/>
    </xf>
    <xf numFmtId="43" fontId="11" fillId="0" borderId="26" xfId="1" applyFont="1" applyBorder="1" applyAlignment="1"/>
    <xf numFmtId="43" fontId="11" fillId="0" borderId="27" xfId="1" applyFont="1" applyBorder="1" applyAlignment="1"/>
    <xf numFmtId="0" fontId="34" fillId="0" borderId="17" xfId="3" applyFont="1" applyBorder="1" applyAlignment="1">
      <alignment horizontal="left" wrapText="1"/>
    </xf>
    <xf numFmtId="43" fontId="34" fillId="3" borderId="17" xfId="1" applyNumberFormat="1" applyFont="1" applyFill="1" applyBorder="1" applyAlignment="1">
      <alignment horizontal="center"/>
    </xf>
    <xf numFmtId="0" fontId="29" fillId="0" borderId="34" xfId="0" applyFont="1" applyBorder="1" applyAlignment="1">
      <alignment horizontal="center"/>
    </xf>
    <xf numFmtId="0" fontId="29" fillId="0" borderId="35" xfId="0" applyFont="1" applyBorder="1" applyAlignment="1">
      <alignment horizontal="center"/>
    </xf>
    <xf numFmtId="49" fontId="4" fillId="2" borderId="0" xfId="0" applyNumberFormat="1" applyFont="1" applyFill="1" applyBorder="1" applyAlignment="1">
      <alignment horizontal="center"/>
    </xf>
    <xf numFmtId="49" fontId="5" fillId="2" borderId="0" xfId="0" applyNumberFormat="1" applyFont="1" applyFill="1" applyBorder="1" applyAlignment="1">
      <alignment horizontal="center"/>
    </xf>
    <xf numFmtId="0" fontId="12" fillId="2" borderId="16" xfId="2" applyNumberFormat="1" applyFont="1" applyFill="1" applyBorder="1" applyAlignment="1">
      <alignment wrapText="1"/>
    </xf>
    <xf numFmtId="0" fontId="12" fillId="2" borderId="0" xfId="2" applyNumberFormat="1" applyFont="1" applyFill="1" applyBorder="1" applyAlignment="1">
      <alignment wrapText="1"/>
    </xf>
    <xf numFmtId="0" fontId="12" fillId="2" borderId="31" xfId="2" applyNumberFormat="1" applyFont="1" applyFill="1" applyBorder="1" applyAlignment="1">
      <alignment wrapText="1"/>
    </xf>
    <xf numFmtId="0" fontId="12" fillId="2" borderId="21" xfId="2" applyNumberFormat="1" applyFont="1" applyFill="1" applyBorder="1" applyAlignment="1">
      <alignment wrapText="1"/>
    </xf>
    <xf numFmtId="49" fontId="21" fillId="0" borderId="0" xfId="0" applyNumberFormat="1" applyFont="1" applyAlignment="1">
      <alignment horizontal="center"/>
    </xf>
    <xf numFmtId="0" fontId="14" fillId="2" borderId="17" xfId="2" applyNumberFormat="1" applyFont="1" applyFill="1" applyBorder="1" applyAlignment="1">
      <alignment horizontal="left" wrapText="1"/>
    </xf>
    <xf numFmtId="0" fontId="14" fillId="2" borderId="17" xfId="2" applyNumberFormat="1" applyFont="1" applyFill="1" applyBorder="1" applyAlignment="1">
      <alignment horizontal="left"/>
    </xf>
    <xf numFmtId="0" fontId="14" fillId="2" borderId="18" xfId="2" applyNumberFormat="1" applyFont="1" applyFill="1" applyBorder="1" applyAlignment="1">
      <alignment horizontal="left"/>
    </xf>
    <xf numFmtId="0" fontId="12" fillId="2" borderId="16" xfId="2" applyNumberFormat="1" applyFont="1" applyFill="1" applyBorder="1" applyAlignment="1">
      <alignment horizontal="left" wrapText="1"/>
    </xf>
    <xf numFmtId="0" fontId="12" fillId="2" borderId="0" xfId="2" applyNumberFormat="1" applyFont="1" applyFill="1" applyBorder="1" applyAlignment="1">
      <alignment horizontal="left" wrapText="1"/>
    </xf>
  </cellXfs>
  <cellStyles count="4">
    <cellStyle name="Comma" xfId="1" builtinId="3"/>
    <cellStyle name="Comma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2152649</xdr:colOff>
      <xdr:row>28</xdr:row>
      <xdr:rowOff>133349</xdr:rowOff>
    </xdr:from>
    <xdr:to>
      <xdr:col>0</xdr:col>
      <xdr:colOff>4381500</xdr:colOff>
      <xdr:row>29</xdr:row>
      <xdr:rowOff>733424</xdr:rowOff>
    </xdr:to>
    <xdr:pic>
      <xdr:nvPicPr>
        <xdr:cNvPr id="2" name="Picture 4" descr="\\ADMIN-PC\ArchEng\archeng\Archeng Logo\New Archeng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49" y="7667624"/>
          <a:ext cx="2228851"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61</xdr:row>
      <xdr:rowOff>47625</xdr:rowOff>
    </xdr:from>
    <xdr:to>
      <xdr:col>6</xdr:col>
      <xdr:colOff>771525</xdr:colOff>
      <xdr:row>62</xdr:row>
      <xdr:rowOff>619125</xdr:rowOff>
    </xdr:to>
    <xdr:cxnSp macro="">
      <xdr:nvCxnSpPr>
        <xdr:cNvPr id="3" name="Straight Connector 2"/>
        <xdr:cNvCxnSpPr/>
      </xdr:nvCxnSpPr>
      <xdr:spPr>
        <a:xfrm>
          <a:off x="0" y="11744325"/>
          <a:ext cx="5791200" cy="7239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A21" sqref="A21"/>
    </sheetView>
  </sheetViews>
  <sheetFormatPr defaultRowHeight="15" x14ac:dyDescent="0.25"/>
  <cols>
    <col min="1" max="1" width="100.85546875" customWidth="1"/>
  </cols>
  <sheetData>
    <row r="1" spans="1:1" ht="18.75" x14ac:dyDescent="0.4">
      <c r="A1" s="422"/>
    </row>
    <row r="2" spans="1:1" ht="18.75" x14ac:dyDescent="0.4">
      <c r="A2" s="423"/>
    </row>
    <row r="3" spans="1:1" ht="18.75" x14ac:dyDescent="0.4">
      <c r="A3" s="423"/>
    </row>
    <row r="4" spans="1:1" ht="18.75" x14ac:dyDescent="0.4">
      <c r="A4" s="423"/>
    </row>
    <row r="5" spans="1:1" ht="18.75" x14ac:dyDescent="0.4">
      <c r="A5" s="423"/>
    </row>
    <row r="6" spans="1:1" ht="18.75" x14ac:dyDescent="0.4">
      <c r="A6" s="423"/>
    </row>
    <row r="7" spans="1:1" ht="33.75" x14ac:dyDescent="0.65">
      <c r="A7" s="424" t="s">
        <v>492</v>
      </c>
    </row>
    <row r="8" spans="1:1" ht="18.75" x14ac:dyDescent="0.4">
      <c r="A8" s="423"/>
    </row>
    <row r="9" spans="1:1" ht="18.75" x14ac:dyDescent="0.4">
      <c r="A9" s="423"/>
    </row>
    <row r="10" spans="1:1" ht="18.75" x14ac:dyDescent="0.4">
      <c r="A10" s="423"/>
    </row>
    <row r="11" spans="1:1" ht="18.75" x14ac:dyDescent="0.4">
      <c r="A11" s="423"/>
    </row>
    <row r="12" spans="1:1" ht="67.5" x14ac:dyDescent="0.25">
      <c r="A12" s="425" t="s">
        <v>523</v>
      </c>
    </row>
    <row r="13" spans="1:1" ht="18.75" x14ac:dyDescent="0.4">
      <c r="A13" s="423"/>
    </row>
    <row r="14" spans="1:1" ht="18.75" x14ac:dyDescent="0.4">
      <c r="A14" s="423"/>
    </row>
    <row r="15" spans="1:1" ht="18.75" x14ac:dyDescent="0.4">
      <c r="A15" s="423"/>
    </row>
    <row r="16" spans="1:1" ht="18.75" x14ac:dyDescent="0.4">
      <c r="A16" s="423"/>
    </row>
    <row r="17" spans="1:1" ht="18.75" x14ac:dyDescent="0.4">
      <c r="A17" s="423"/>
    </row>
    <row r="18" spans="1:1" s="44" customFormat="1" ht="23.25" customHeight="1" x14ac:dyDescent="0.4">
      <c r="A18" s="426" t="s">
        <v>493</v>
      </c>
    </row>
    <row r="19" spans="1:1" ht="18.75" x14ac:dyDescent="0.4">
      <c r="A19" s="427" t="s">
        <v>494</v>
      </c>
    </row>
    <row r="20" spans="1:1" ht="18.75" x14ac:dyDescent="0.4">
      <c r="A20" s="427" t="s">
        <v>495</v>
      </c>
    </row>
    <row r="21" spans="1:1" ht="18.75" x14ac:dyDescent="0.4">
      <c r="A21" s="423"/>
    </row>
    <row r="22" spans="1:1" ht="18.75" x14ac:dyDescent="0.4">
      <c r="A22" s="423"/>
    </row>
    <row r="23" spans="1:1" ht="18.75" x14ac:dyDescent="0.4">
      <c r="A23" s="423"/>
    </row>
    <row r="24" spans="1:1" ht="18.75" x14ac:dyDescent="0.4">
      <c r="A24" s="423"/>
    </row>
    <row r="25" spans="1:1" ht="18.75" x14ac:dyDescent="0.4">
      <c r="A25" s="423"/>
    </row>
    <row r="26" spans="1:1" ht="18.75" x14ac:dyDescent="0.4">
      <c r="A26" s="423"/>
    </row>
    <row r="27" spans="1:1" ht="18.75" x14ac:dyDescent="0.4">
      <c r="A27" s="423"/>
    </row>
    <row r="28" spans="1:1" ht="18.75" x14ac:dyDescent="0.4">
      <c r="A28" s="426" t="s">
        <v>178</v>
      </c>
    </row>
    <row r="29" spans="1:1" x14ac:dyDescent="0.25">
      <c r="A29" s="434"/>
    </row>
    <row r="30" spans="1:1" ht="66" customHeight="1" thickBot="1" x14ac:dyDescent="0.3">
      <c r="A30" s="435"/>
    </row>
    <row r="40" spans="1:1" x14ac:dyDescent="0.25">
      <c r="A40" s="46"/>
    </row>
    <row r="41" spans="1:1" x14ac:dyDescent="0.25">
      <c r="A41" s="45"/>
    </row>
  </sheetData>
  <mergeCells count="1">
    <mergeCell ref="A29:A30"/>
  </mergeCell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F9" sqref="F9"/>
    </sheetView>
  </sheetViews>
  <sheetFormatPr defaultRowHeight="15" x14ac:dyDescent="0.25"/>
  <cols>
    <col min="2" max="2" width="47.5703125" customWidth="1"/>
    <col min="3" max="3" width="28.5703125" customWidth="1"/>
    <col min="6" max="6" width="44.5703125" customWidth="1"/>
    <col min="9" max="9" width="21.140625" customWidth="1"/>
  </cols>
  <sheetData>
    <row r="1" spans="1:6" ht="18.75" x14ac:dyDescent="0.3">
      <c r="A1" s="436" t="s">
        <v>524</v>
      </c>
      <c r="B1" s="436"/>
      <c r="C1" s="436"/>
    </row>
    <row r="2" spans="1:6" ht="15.75" x14ac:dyDescent="0.25">
      <c r="A2" s="437" t="s">
        <v>75</v>
      </c>
      <c r="B2" s="437"/>
      <c r="C2" s="437"/>
    </row>
    <row r="3" spans="1:6" ht="15.75" thickBot="1" x14ac:dyDescent="0.3">
      <c r="A3" s="1"/>
      <c r="B3" s="2"/>
      <c r="C3" s="3"/>
    </row>
    <row r="4" spans="1:6" ht="20.100000000000001" customHeight="1" thickTop="1" thickBot="1" x14ac:dyDescent="0.35">
      <c r="A4" s="4" t="s">
        <v>76</v>
      </c>
      <c r="B4" s="5" t="s">
        <v>77</v>
      </c>
      <c r="C4" s="6" t="s">
        <v>78</v>
      </c>
    </row>
    <row r="5" spans="1:6" ht="24.95" customHeight="1" thickTop="1" x14ac:dyDescent="0.25">
      <c r="A5" s="7" t="s">
        <v>79</v>
      </c>
      <c r="B5" s="8" t="s">
        <v>18</v>
      </c>
      <c r="C5" s="9">
        <f>Boq!G52</f>
        <v>0</v>
      </c>
    </row>
    <row r="6" spans="1:6" ht="24.95" customHeight="1" x14ac:dyDescent="0.25">
      <c r="A6" s="10" t="s">
        <v>80</v>
      </c>
      <c r="B6" s="11" t="s">
        <v>81</v>
      </c>
      <c r="C6" s="12">
        <f>Boq!G88</f>
        <v>0</v>
      </c>
    </row>
    <row r="7" spans="1:6" ht="24.95" customHeight="1" x14ac:dyDescent="0.25">
      <c r="A7" s="10" t="s">
        <v>82</v>
      </c>
      <c r="B7" s="11" t="s">
        <v>83</v>
      </c>
      <c r="C7" s="12">
        <f>Boq!G325</f>
        <v>0</v>
      </c>
    </row>
    <row r="8" spans="1:6" ht="24.95" customHeight="1" x14ac:dyDescent="0.25">
      <c r="A8" s="10" t="s">
        <v>84</v>
      </c>
      <c r="B8" s="11" t="s">
        <v>85</v>
      </c>
      <c r="C8" s="12">
        <f>Boq!G409</f>
        <v>0</v>
      </c>
    </row>
    <row r="9" spans="1:6" ht="24.95" customHeight="1" x14ac:dyDescent="0.25">
      <c r="A9" s="10" t="s">
        <v>86</v>
      </c>
      <c r="B9" s="11" t="s">
        <v>87</v>
      </c>
      <c r="C9" s="12">
        <f>Boq!G495</f>
        <v>0</v>
      </c>
    </row>
    <row r="10" spans="1:6" ht="24.95" customHeight="1" x14ac:dyDescent="0.25">
      <c r="A10" s="10" t="s">
        <v>88</v>
      </c>
      <c r="B10" s="11" t="s">
        <v>90</v>
      </c>
      <c r="C10" s="12">
        <f>Boq!G539</f>
        <v>0</v>
      </c>
    </row>
    <row r="11" spans="1:6" ht="24.95" customHeight="1" x14ac:dyDescent="0.25">
      <c r="A11" s="10" t="s">
        <v>89</v>
      </c>
      <c r="B11" s="11" t="s">
        <v>92</v>
      </c>
      <c r="C11" s="12">
        <f>Boq!G564</f>
        <v>0</v>
      </c>
    </row>
    <row r="12" spans="1:6" ht="24.95" customHeight="1" x14ac:dyDescent="0.25">
      <c r="A12" s="10" t="s">
        <v>91</v>
      </c>
      <c r="B12" s="11" t="s">
        <v>94</v>
      </c>
      <c r="C12" s="12">
        <f>Boq!G604</f>
        <v>0</v>
      </c>
    </row>
    <row r="13" spans="1:6" ht="24.95" customHeight="1" x14ac:dyDescent="0.25">
      <c r="A13" s="10" t="s">
        <v>93</v>
      </c>
      <c r="B13" s="11" t="s">
        <v>96</v>
      </c>
      <c r="C13" s="12">
        <f>Boq!G640</f>
        <v>0</v>
      </c>
    </row>
    <row r="14" spans="1:6" ht="24.95" customHeight="1" x14ac:dyDescent="0.25">
      <c r="A14" s="10" t="s">
        <v>95</v>
      </c>
      <c r="B14" s="11" t="s">
        <v>98</v>
      </c>
      <c r="C14" s="12">
        <f>Boq!G733</f>
        <v>0</v>
      </c>
    </row>
    <row r="15" spans="1:6" ht="24.95" customHeight="1" x14ac:dyDescent="0.25">
      <c r="A15" s="10" t="s">
        <v>97</v>
      </c>
      <c r="B15" s="11" t="s">
        <v>99</v>
      </c>
      <c r="C15" s="12">
        <f>Boq!G831</f>
        <v>0</v>
      </c>
    </row>
    <row r="16" spans="1:6" ht="24.95" customHeight="1" x14ac:dyDescent="0.25">
      <c r="A16" s="10" t="s">
        <v>383</v>
      </c>
      <c r="B16" s="11" t="s">
        <v>384</v>
      </c>
      <c r="C16" s="12">
        <f>Boq!G878</f>
        <v>0</v>
      </c>
      <c r="F16" s="56"/>
    </row>
    <row r="17" spans="1:6" ht="24.95" customHeight="1" x14ac:dyDescent="0.25">
      <c r="A17" s="10" t="s">
        <v>413</v>
      </c>
      <c r="B17" s="11" t="s">
        <v>415</v>
      </c>
      <c r="C17" s="12">
        <f>Boq!G937</f>
        <v>0</v>
      </c>
      <c r="F17" s="56">
        <f>C21/F19</f>
        <v>0</v>
      </c>
    </row>
    <row r="18" spans="1:6" ht="24.95" customHeight="1" x14ac:dyDescent="0.25">
      <c r="A18" s="10" t="s">
        <v>414</v>
      </c>
      <c r="B18" s="11" t="s">
        <v>416</v>
      </c>
      <c r="C18" s="12">
        <f>-Boq!G996</f>
        <v>0</v>
      </c>
    </row>
    <row r="19" spans="1:6" ht="24.95" customHeight="1" x14ac:dyDescent="0.25">
      <c r="A19" s="13"/>
      <c r="B19" s="14"/>
      <c r="C19" s="15"/>
      <c r="F19">
        <f>107*2*10.764</f>
        <v>2303.4959999999996</v>
      </c>
    </row>
    <row r="20" spans="1:6" ht="24.95" customHeight="1" thickBot="1" x14ac:dyDescent="0.3">
      <c r="A20" s="16"/>
      <c r="B20" s="17"/>
      <c r="C20" s="18"/>
      <c r="F20" s="56">
        <f>C21*3%</f>
        <v>0</v>
      </c>
    </row>
    <row r="21" spans="1:6" ht="24.95" customHeight="1" thickTop="1" thickBot="1" x14ac:dyDescent="0.3">
      <c r="A21" s="19"/>
      <c r="B21" s="20" t="s">
        <v>380</v>
      </c>
      <c r="C21" s="21">
        <f>SUM(C5:C18)</f>
        <v>0</v>
      </c>
      <c r="F21" s="56">
        <f>C21*0.05</f>
        <v>0</v>
      </c>
    </row>
    <row r="22" spans="1:6" ht="24.95" customHeight="1" thickTop="1" thickBot="1" x14ac:dyDescent="0.3">
      <c r="A22" s="19"/>
      <c r="B22" s="20" t="s">
        <v>381</v>
      </c>
      <c r="C22" s="21">
        <f>C21*6%</f>
        <v>0</v>
      </c>
    </row>
    <row r="23" spans="1:6" ht="31.5" customHeight="1" thickTop="1" thickBot="1" x14ac:dyDescent="0.3">
      <c r="A23" s="19"/>
      <c r="B23" s="20" t="s">
        <v>382</v>
      </c>
      <c r="C23" s="21">
        <f>C21+C22</f>
        <v>0</v>
      </c>
    </row>
    <row r="24" spans="1:6" ht="15.75" thickTop="1" x14ac:dyDescent="0.25"/>
  </sheetData>
  <mergeCells count="2">
    <mergeCell ref="A1:C1"/>
    <mergeCell ref="A2:C2"/>
  </mergeCells>
  <pageMargins left="0.7" right="0.7" top="0.75" bottom="0.75" header="0.3" footer="0.3"/>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6"/>
  <sheetViews>
    <sheetView tabSelected="1" view="pageBreakPreview" topLeftCell="A64" zoomScaleNormal="100" zoomScaleSheetLayoutView="100" workbookViewId="0">
      <selection activeCell="K28" sqref="K28"/>
    </sheetView>
  </sheetViews>
  <sheetFormatPr defaultRowHeight="12" x14ac:dyDescent="0.2"/>
  <cols>
    <col min="1" max="1" width="5.140625" style="38" customWidth="1"/>
    <col min="2" max="2" width="38.7109375" style="22" customWidth="1"/>
    <col min="3" max="3" width="4.7109375" style="23" customWidth="1"/>
    <col min="4" max="4" width="7.5703125" style="24" customWidth="1"/>
    <col min="5" max="5" width="11.85546875" style="39" customWidth="1"/>
    <col min="6" max="6" width="11.5703125" style="25" customWidth="1"/>
    <col min="7" max="7" width="12.42578125" style="25" customWidth="1"/>
    <col min="8" max="8" width="4.5703125" style="22" customWidth="1"/>
    <col min="9" max="9" width="13.5703125" style="22" customWidth="1"/>
    <col min="10" max="10" width="9.140625" style="22" customWidth="1"/>
    <col min="11" max="11" width="9" style="22" customWidth="1"/>
    <col min="12" max="12" width="9.42578125" style="22" customWidth="1"/>
    <col min="13" max="13" width="11.28515625" style="22" customWidth="1"/>
    <col min="14" max="14" width="9.28515625" style="22" customWidth="1"/>
    <col min="15" max="15" width="7.7109375" style="22" customWidth="1"/>
    <col min="16" max="16384" width="9.140625" style="22"/>
  </cols>
  <sheetData>
    <row r="1" spans="1:10" s="34" customFormat="1" ht="18.75" customHeight="1" x14ac:dyDescent="0.25">
      <c r="A1" s="442" t="s">
        <v>525</v>
      </c>
      <c r="B1" s="442"/>
      <c r="C1" s="442"/>
      <c r="D1" s="442"/>
      <c r="E1" s="442"/>
      <c r="F1" s="442"/>
      <c r="G1" s="442"/>
    </row>
    <row r="2" spans="1:10" ht="12.75" thickBot="1" x14ac:dyDescent="0.25"/>
    <row r="3" spans="1:10" s="26" customFormat="1" ht="24.75" thickBot="1" x14ac:dyDescent="0.3">
      <c r="A3" s="154" t="s">
        <v>0</v>
      </c>
      <c r="B3" s="155" t="s">
        <v>1</v>
      </c>
      <c r="C3" s="155" t="s">
        <v>2</v>
      </c>
      <c r="D3" s="156" t="s">
        <v>3</v>
      </c>
      <c r="E3" s="157" t="s">
        <v>4</v>
      </c>
      <c r="F3" s="158" t="s">
        <v>5</v>
      </c>
      <c r="G3" s="159" t="s">
        <v>6</v>
      </c>
    </row>
    <row r="4" spans="1:10" s="26" customFormat="1" x14ac:dyDescent="0.2">
      <c r="A4" s="137"/>
      <c r="B4" s="160" t="s">
        <v>17</v>
      </c>
      <c r="C4" s="161"/>
      <c r="D4" s="162"/>
      <c r="E4" s="150"/>
      <c r="F4" s="158"/>
      <c r="G4" s="159"/>
      <c r="I4" s="49"/>
      <c r="J4" s="48"/>
    </row>
    <row r="5" spans="1:10" s="26" customFormat="1" x14ac:dyDescent="0.2">
      <c r="A5" s="98"/>
      <c r="B5" s="102" t="s">
        <v>18</v>
      </c>
      <c r="C5" s="163"/>
      <c r="D5" s="164"/>
      <c r="E5" s="90"/>
      <c r="F5" s="139"/>
      <c r="G5" s="140"/>
    </row>
    <row r="6" spans="1:10" s="26" customFormat="1" x14ac:dyDescent="0.2">
      <c r="A6" s="98"/>
      <c r="B6" s="165"/>
      <c r="C6" s="163"/>
      <c r="D6" s="164"/>
      <c r="E6" s="90"/>
      <c r="F6" s="139"/>
      <c r="G6" s="140"/>
    </row>
    <row r="7" spans="1:10" s="26" customFormat="1" x14ac:dyDescent="0.2">
      <c r="A7" s="98">
        <v>1.1000000000000001</v>
      </c>
      <c r="B7" s="166" t="s">
        <v>19</v>
      </c>
      <c r="C7" s="163"/>
      <c r="D7" s="164"/>
      <c r="E7" s="90"/>
      <c r="F7" s="139"/>
      <c r="G7" s="140"/>
    </row>
    <row r="8" spans="1:10" s="26" customFormat="1" x14ac:dyDescent="0.2">
      <c r="A8" s="167" t="s">
        <v>7</v>
      </c>
      <c r="B8" s="168" t="s">
        <v>20</v>
      </c>
      <c r="C8" s="163"/>
      <c r="D8" s="164"/>
      <c r="E8" s="90"/>
      <c r="F8" s="139"/>
      <c r="G8" s="140"/>
    </row>
    <row r="9" spans="1:10" s="26" customFormat="1" x14ac:dyDescent="0.2">
      <c r="A9" s="98"/>
      <c r="B9" s="169" t="s">
        <v>21</v>
      </c>
      <c r="C9" s="163"/>
      <c r="D9" s="164"/>
      <c r="E9" s="90"/>
      <c r="F9" s="139"/>
      <c r="G9" s="140"/>
    </row>
    <row r="10" spans="1:10" s="26" customFormat="1" x14ac:dyDescent="0.2">
      <c r="A10" s="98"/>
      <c r="B10" s="169" t="s">
        <v>22</v>
      </c>
      <c r="C10" s="163"/>
      <c r="D10" s="164"/>
      <c r="E10" s="90"/>
      <c r="F10" s="139"/>
      <c r="G10" s="140"/>
    </row>
    <row r="11" spans="1:10" s="26" customFormat="1" x14ac:dyDescent="0.2">
      <c r="A11" s="98"/>
      <c r="B11" s="169" t="s">
        <v>23</v>
      </c>
      <c r="C11" s="163"/>
      <c r="D11" s="164"/>
      <c r="E11" s="90"/>
      <c r="F11" s="139"/>
      <c r="G11" s="140"/>
    </row>
    <row r="12" spans="1:10" s="26" customFormat="1" x14ac:dyDescent="0.2">
      <c r="A12" s="98"/>
      <c r="B12" s="169" t="s">
        <v>24</v>
      </c>
      <c r="C12" s="163"/>
      <c r="D12" s="164"/>
      <c r="E12" s="90"/>
      <c r="F12" s="139"/>
      <c r="G12" s="140"/>
    </row>
    <row r="13" spans="1:10" s="26" customFormat="1" x14ac:dyDescent="0.2">
      <c r="A13" s="98"/>
      <c r="B13" s="169" t="s">
        <v>21</v>
      </c>
      <c r="C13" s="163"/>
      <c r="D13" s="164"/>
      <c r="E13" s="90"/>
      <c r="F13" s="139"/>
      <c r="G13" s="140"/>
    </row>
    <row r="14" spans="1:10" s="26" customFormat="1" x14ac:dyDescent="0.2">
      <c r="A14" s="98"/>
      <c r="B14" s="169" t="s">
        <v>25</v>
      </c>
      <c r="C14" s="163"/>
      <c r="D14" s="164"/>
      <c r="E14" s="90"/>
      <c r="F14" s="139"/>
      <c r="G14" s="140"/>
    </row>
    <row r="15" spans="1:10" s="26" customFormat="1" x14ac:dyDescent="0.2">
      <c r="A15" s="98"/>
      <c r="B15" s="169" t="s">
        <v>26</v>
      </c>
      <c r="C15" s="163"/>
      <c r="D15" s="164"/>
      <c r="E15" s="90"/>
      <c r="F15" s="139"/>
      <c r="G15" s="140"/>
    </row>
    <row r="16" spans="1:10" s="26" customFormat="1" x14ac:dyDescent="0.2">
      <c r="A16" s="98"/>
      <c r="B16" s="169" t="s">
        <v>27</v>
      </c>
      <c r="C16" s="163"/>
      <c r="D16" s="164"/>
      <c r="E16" s="90"/>
      <c r="F16" s="139"/>
      <c r="G16" s="140"/>
    </row>
    <row r="17" spans="1:7" s="26" customFormat="1" x14ac:dyDescent="0.2">
      <c r="A17" s="98"/>
      <c r="B17" s="169" t="s">
        <v>28</v>
      </c>
      <c r="C17" s="163"/>
      <c r="D17" s="164"/>
      <c r="E17" s="90"/>
      <c r="F17" s="139"/>
      <c r="G17" s="140"/>
    </row>
    <row r="18" spans="1:7" s="26" customFormat="1" x14ac:dyDescent="0.2">
      <c r="A18" s="98"/>
      <c r="B18" s="169" t="s">
        <v>29</v>
      </c>
      <c r="C18" s="163"/>
      <c r="D18" s="164"/>
      <c r="E18" s="90"/>
      <c r="F18" s="139"/>
      <c r="G18" s="140"/>
    </row>
    <row r="19" spans="1:7" s="26" customFormat="1" x14ac:dyDescent="0.2">
      <c r="A19" s="98"/>
      <c r="B19" s="169" t="s">
        <v>30</v>
      </c>
      <c r="C19" s="163"/>
      <c r="D19" s="164"/>
      <c r="E19" s="90"/>
      <c r="F19" s="139"/>
      <c r="G19" s="140"/>
    </row>
    <row r="20" spans="1:7" s="26" customFormat="1" x14ac:dyDescent="0.2">
      <c r="A20" s="98"/>
      <c r="B20" s="169"/>
      <c r="C20" s="163"/>
      <c r="D20" s="164"/>
      <c r="E20" s="90"/>
      <c r="F20" s="139"/>
      <c r="G20" s="140"/>
    </row>
    <row r="21" spans="1:7" s="26" customFormat="1" x14ac:dyDescent="0.2">
      <c r="A21" s="167">
        <v>1.2</v>
      </c>
      <c r="B21" s="170" t="s">
        <v>31</v>
      </c>
      <c r="C21" s="100"/>
      <c r="D21" s="101"/>
      <c r="E21" s="90"/>
      <c r="F21" s="139"/>
      <c r="G21" s="140"/>
    </row>
    <row r="22" spans="1:7" s="26" customFormat="1" ht="48.75" customHeight="1" x14ac:dyDescent="0.2">
      <c r="A22" s="98" t="s">
        <v>7</v>
      </c>
      <c r="B22" s="171" t="s">
        <v>239</v>
      </c>
      <c r="C22" s="100" t="s">
        <v>0</v>
      </c>
      <c r="D22" s="101">
        <v>1</v>
      </c>
      <c r="E22" s="90"/>
      <c r="F22" s="91"/>
      <c r="G22" s="92">
        <f t="shared" ref="G22:G32" si="0">(D22*E22)+(D22*F22)</f>
        <v>0</v>
      </c>
    </row>
    <row r="23" spans="1:7" s="26" customFormat="1" x14ac:dyDescent="0.2">
      <c r="A23" s="167"/>
      <c r="B23" s="171"/>
      <c r="C23" s="100"/>
      <c r="D23" s="101"/>
      <c r="E23" s="90"/>
      <c r="F23" s="91"/>
      <c r="G23" s="92">
        <f t="shared" si="0"/>
        <v>0</v>
      </c>
    </row>
    <row r="24" spans="1:7" s="26" customFormat="1" x14ac:dyDescent="0.2">
      <c r="A24" s="98">
        <v>1.3</v>
      </c>
      <c r="B24" s="170" t="s">
        <v>32</v>
      </c>
      <c r="C24" s="100"/>
      <c r="D24" s="101"/>
      <c r="E24" s="90"/>
      <c r="F24" s="91"/>
      <c r="G24" s="92">
        <f t="shared" si="0"/>
        <v>0</v>
      </c>
    </row>
    <row r="25" spans="1:7" s="26" customFormat="1" x14ac:dyDescent="0.2">
      <c r="A25" s="98" t="s">
        <v>7</v>
      </c>
      <c r="B25" s="172" t="s">
        <v>33</v>
      </c>
      <c r="C25" s="100" t="s">
        <v>34</v>
      </c>
      <c r="D25" s="101">
        <v>1</v>
      </c>
      <c r="E25" s="90"/>
      <c r="F25" s="91"/>
      <c r="G25" s="92">
        <f t="shared" si="0"/>
        <v>0</v>
      </c>
    </row>
    <row r="26" spans="1:7" s="26" customFormat="1" x14ac:dyDescent="0.2">
      <c r="A26" s="98"/>
      <c r="B26" s="172"/>
      <c r="C26" s="100"/>
      <c r="D26" s="101"/>
      <c r="E26" s="90"/>
      <c r="F26" s="91"/>
      <c r="G26" s="92">
        <f t="shared" si="0"/>
        <v>0</v>
      </c>
    </row>
    <row r="27" spans="1:7" s="26" customFormat="1" x14ac:dyDescent="0.2">
      <c r="A27" s="98" t="s">
        <v>173</v>
      </c>
      <c r="B27" s="173" t="s">
        <v>174</v>
      </c>
      <c r="C27" s="100"/>
      <c r="D27" s="101"/>
      <c r="E27" s="90"/>
      <c r="F27" s="91"/>
      <c r="G27" s="92">
        <f t="shared" si="0"/>
        <v>0</v>
      </c>
    </row>
    <row r="28" spans="1:7" s="26" customFormat="1" ht="39.75" customHeight="1" x14ac:dyDescent="0.2">
      <c r="A28" s="98" t="s">
        <v>7</v>
      </c>
      <c r="B28" s="131" t="s">
        <v>272</v>
      </c>
      <c r="C28" s="100" t="s">
        <v>0</v>
      </c>
      <c r="D28" s="101">
        <v>1</v>
      </c>
      <c r="E28" s="90"/>
      <c r="F28" s="91"/>
      <c r="G28" s="92">
        <f t="shared" si="0"/>
        <v>0</v>
      </c>
    </row>
    <row r="29" spans="1:7" s="26" customFormat="1" x14ac:dyDescent="0.2">
      <c r="A29" s="98"/>
      <c r="B29" s="172"/>
      <c r="C29" s="100"/>
      <c r="D29" s="101"/>
      <c r="E29" s="90"/>
      <c r="F29" s="91"/>
      <c r="G29" s="92"/>
    </row>
    <row r="30" spans="1:7" s="26" customFormat="1" x14ac:dyDescent="0.2">
      <c r="A30" s="174" t="s">
        <v>187</v>
      </c>
      <c r="B30" s="175" t="s">
        <v>35</v>
      </c>
      <c r="C30" s="176"/>
      <c r="D30" s="177"/>
      <c r="E30" s="90"/>
      <c r="F30" s="91"/>
      <c r="G30" s="92">
        <f t="shared" si="0"/>
        <v>0</v>
      </c>
    </row>
    <row r="31" spans="1:7" s="26" customFormat="1" ht="27.75" customHeight="1" x14ac:dyDescent="0.2">
      <c r="A31" s="98" t="s">
        <v>7</v>
      </c>
      <c r="B31" s="178" t="s">
        <v>36</v>
      </c>
      <c r="C31" s="100" t="s">
        <v>0</v>
      </c>
      <c r="D31" s="101">
        <v>1</v>
      </c>
      <c r="E31" s="90"/>
      <c r="F31" s="91"/>
      <c r="G31" s="92">
        <f t="shared" si="0"/>
        <v>0</v>
      </c>
    </row>
    <row r="32" spans="1:7" s="26" customFormat="1" x14ac:dyDescent="0.2">
      <c r="A32" s="167"/>
      <c r="B32" s="178"/>
      <c r="C32" s="100"/>
      <c r="D32" s="101"/>
      <c r="E32" s="90"/>
      <c r="F32" s="139"/>
      <c r="G32" s="92">
        <f t="shared" si="0"/>
        <v>0</v>
      </c>
    </row>
    <row r="33" spans="1:7" s="26" customFormat="1" x14ac:dyDescent="0.2">
      <c r="A33" s="167"/>
      <c r="B33" s="178"/>
      <c r="C33" s="100"/>
      <c r="D33" s="101"/>
      <c r="E33" s="90"/>
      <c r="F33" s="139"/>
      <c r="G33" s="140"/>
    </row>
    <row r="34" spans="1:7" s="26" customFormat="1" x14ac:dyDescent="0.2">
      <c r="A34" s="167"/>
      <c r="B34" s="178"/>
      <c r="C34" s="100"/>
      <c r="D34" s="101"/>
      <c r="E34" s="90"/>
      <c r="F34" s="139"/>
      <c r="G34" s="140"/>
    </row>
    <row r="35" spans="1:7" s="26" customFormat="1" x14ac:dyDescent="0.2">
      <c r="A35" s="167"/>
      <c r="B35" s="178"/>
      <c r="C35" s="100"/>
      <c r="D35" s="101"/>
      <c r="E35" s="90"/>
      <c r="F35" s="139"/>
      <c r="G35" s="140"/>
    </row>
    <row r="36" spans="1:7" s="26" customFormat="1" x14ac:dyDescent="0.2">
      <c r="A36" s="167"/>
      <c r="B36" s="178"/>
      <c r="C36" s="100"/>
      <c r="D36" s="101"/>
      <c r="E36" s="90"/>
      <c r="F36" s="139"/>
      <c r="G36" s="140"/>
    </row>
    <row r="37" spans="1:7" s="26" customFormat="1" x14ac:dyDescent="0.2">
      <c r="A37" s="167"/>
      <c r="B37" s="178"/>
      <c r="C37" s="100"/>
      <c r="D37" s="101"/>
      <c r="E37" s="90"/>
      <c r="F37" s="139"/>
      <c r="G37" s="140"/>
    </row>
    <row r="38" spans="1:7" s="26" customFormat="1" x14ac:dyDescent="0.2">
      <c r="A38" s="167"/>
      <c r="B38" s="178"/>
      <c r="C38" s="100"/>
      <c r="D38" s="101"/>
      <c r="E38" s="90"/>
      <c r="F38" s="139"/>
      <c r="G38" s="140"/>
    </row>
    <row r="39" spans="1:7" s="26" customFormat="1" x14ac:dyDescent="0.2">
      <c r="A39" s="167"/>
      <c r="B39" s="178"/>
      <c r="C39" s="100"/>
      <c r="D39" s="101"/>
      <c r="E39" s="90"/>
      <c r="F39" s="139"/>
      <c r="G39" s="140"/>
    </row>
    <row r="40" spans="1:7" s="26" customFormat="1" x14ac:dyDescent="0.2">
      <c r="A40" s="167"/>
      <c r="B40" s="178"/>
      <c r="C40" s="100"/>
      <c r="D40" s="101"/>
      <c r="E40" s="90"/>
      <c r="F40" s="139"/>
      <c r="G40" s="140"/>
    </row>
    <row r="41" spans="1:7" s="26" customFormat="1" x14ac:dyDescent="0.2">
      <c r="A41" s="167"/>
      <c r="B41" s="178"/>
      <c r="C41" s="100"/>
      <c r="D41" s="101"/>
      <c r="E41" s="90"/>
      <c r="F41" s="139"/>
      <c r="G41" s="140"/>
    </row>
    <row r="42" spans="1:7" s="26" customFormat="1" x14ac:dyDescent="0.2">
      <c r="A42" s="167"/>
      <c r="B42" s="178"/>
      <c r="C42" s="100"/>
      <c r="D42" s="101"/>
      <c r="E42" s="90"/>
      <c r="F42" s="139"/>
      <c r="G42" s="140"/>
    </row>
    <row r="43" spans="1:7" s="26" customFormat="1" x14ac:dyDescent="0.2">
      <c r="A43" s="167"/>
      <c r="B43" s="178"/>
      <c r="C43" s="100"/>
      <c r="D43" s="101"/>
      <c r="E43" s="90"/>
      <c r="F43" s="139"/>
      <c r="G43" s="140"/>
    </row>
    <row r="44" spans="1:7" s="26" customFormat="1" x14ac:dyDescent="0.2">
      <c r="A44" s="167"/>
      <c r="B44" s="178"/>
      <c r="C44" s="100"/>
      <c r="D44" s="101"/>
      <c r="E44" s="90"/>
      <c r="F44" s="139"/>
      <c r="G44" s="140"/>
    </row>
    <row r="45" spans="1:7" s="26" customFormat="1" x14ac:dyDescent="0.2">
      <c r="A45" s="167"/>
      <c r="B45" s="178"/>
      <c r="C45" s="100"/>
      <c r="D45" s="101"/>
      <c r="E45" s="90"/>
      <c r="F45" s="139"/>
      <c r="G45" s="140"/>
    </row>
    <row r="46" spans="1:7" s="26" customFormat="1" x14ac:dyDescent="0.2">
      <c r="A46" s="167"/>
      <c r="B46" s="178"/>
      <c r="C46" s="100"/>
      <c r="D46" s="101"/>
      <c r="E46" s="90"/>
      <c r="F46" s="139"/>
      <c r="G46" s="140"/>
    </row>
    <row r="47" spans="1:7" s="26" customFormat="1" x14ac:dyDescent="0.2">
      <c r="A47" s="167"/>
      <c r="B47" s="178"/>
      <c r="C47" s="100"/>
      <c r="D47" s="101"/>
      <c r="E47" s="90"/>
      <c r="F47" s="139"/>
      <c r="G47" s="140"/>
    </row>
    <row r="48" spans="1:7" s="26" customFormat="1" x14ac:dyDescent="0.2">
      <c r="A48" s="167"/>
      <c r="B48" s="178"/>
      <c r="C48" s="100"/>
      <c r="D48" s="101"/>
      <c r="E48" s="90"/>
      <c r="F48" s="139"/>
      <c r="G48" s="140"/>
    </row>
    <row r="49" spans="1:9" s="26" customFormat="1" x14ac:dyDescent="0.2">
      <c r="A49" s="167"/>
      <c r="B49" s="178"/>
      <c r="C49" s="100"/>
      <c r="D49" s="101"/>
      <c r="E49" s="90"/>
      <c r="F49" s="139"/>
      <c r="G49" s="140"/>
    </row>
    <row r="50" spans="1:9" s="26" customFormat="1" ht="12.75" thickBot="1" x14ac:dyDescent="0.25">
      <c r="A50" s="167"/>
      <c r="B50" s="178"/>
      <c r="C50" s="100"/>
      <c r="D50" s="101"/>
      <c r="E50" s="90"/>
      <c r="F50" s="139"/>
      <c r="G50" s="140"/>
    </row>
    <row r="51" spans="1:9" s="26" customFormat="1" x14ac:dyDescent="0.2">
      <c r="A51" s="137"/>
      <c r="B51" s="147" t="s">
        <v>37</v>
      </c>
      <c r="C51" s="361"/>
      <c r="D51" s="149"/>
      <c r="E51" s="150"/>
      <c r="F51" s="158"/>
      <c r="G51" s="159"/>
    </row>
    <row r="52" spans="1:9" s="26" customFormat="1" ht="12.75" thickBot="1" x14ac:dyDescent="0.25">
      <c r="A52" s="362"/>
      <c r="B52" s="356" t="s">
        <v>38</v>
      </c>
      <c r="C52" s="363"/>
      <c r="D52" s="364"/>
      <c r="E52" s="365"/>
      <c r="F52" s="366"/>
      <c r="G52" s="367">
        <f>SUM(G22:G51)</f>
        <v>0</v>
      </c>
    </row>
    <row r="53" spans="1:9" s="26" customFormat="1" x14ac:dyDescent="0.2">
      <c r="A53" s="98"/>
      <c r="B53" s="179"/>
      <c r="C53" s="88"/>
      <c r="D53" s="101"/>
      <c r="E53" s="90"/>
      <c r="F53" s="139"/>
      <c r="G53" s="140"/>
    </row>
    <row r="54" spans="1:9" s="26" customFormat="1" x14ac:dyDescent="0.2">
      <c r="A54" s="98"/>
      <c r="B54" s="102" t="s">
        <v>39</v>
      </c>
      <c r="C54" s="163"/>
      <c r="D54" s="164"/>
      <c r="E54" s="90"/>
      <c r="F54" s="139"/>
      <c r="G54" s="140"/>
    </row>
    <row r="55" spans="1:9" s="26" customFormat="1" x14ac:dyDescent="0.2">
      <c r="A55" s="98"/>
      <c r="B55" s="102" t="s">
        <v>40</v>
      </c>
      <c r="C55" s="163"/>
      <c r="D55" s="164"/>
      <c r="E55" s="90"/>
      <c r="F55" s="139"/>
      <c r="G55" s="140"/>
    </row>
    <row r="56" spans="1:9" s="26" customFormat="1" x14ac:dyDescent="0.2">
      <c r="A56" s="98">
        <v>2.1</v>
      </c>
      <c r="B56" s="166" t="s">
        <v>41</v>
      </c>
      <c r="C56" s="163"/>
      <c r="D56" s="164"/>
      <c r="E56" s="90"/>
      <c r="F56" s="139"/>
      <c r="G56" s="140"/>
    </row>
    <row r="57" spans="1:9" s="26" customFormat="1" ht="65.25" customHeight="1" x14ac:dyDescent="0.2">
      <c r="A57" s="98"/>
      <c r="B57" s="180" t="s">
        <v>240</v>
      </c>
      <c r="C57" s="181"/>
      <c r="D57" s="181"/>
      <c r="E57" s="181"/>
      <c r="F57" s="181"/>
      <c r="G57" s="182"/>
    </row>
    <row r="58" spans="1:9" s="26" customFormat="1" x14ac:dyDescent="0.25">
      <c r="A58" s="141"/>
      <c r="B58" s="142"/>
      <c r="C58" s="142"/>
      <c r="D58" s="143"/>
      <c r="E58" s="144"/>
      <c r="F58" s="142"/>
      <c r="G58" s="145"/>
    </row>
    <row r="59" spans="1:9" s="26" customFormat="1" x14ac:dyDescent="0.2">
      <c r="A59" s="98" t="s">
        <v>10</v>
      </c>
      <c r="B59" s="183" t="s">
        <v>60</v>
      </c>
      <c r="C59" s="100"/>
      <c r="D59" s="184"/>
      <c r="E59" s="185"/>
      <c r="F59" s="91"/>
      <c r="G59" s="92">
        <f t="shared" ref="G59:G69" si="1">(D59*E59)+(D59*F59)</f>
        <v>0</v>
      </c>
    </row>
    <row r="60" spans="1:9" s="26" customFormat="1" ht="48.75" customHeight="1" x14ac:dyDescent="0.2">
      <c r="A60" s="98"/>
      <c r="B60" s="171" t="s">
        <v>61</v>
      </c>
      <c r="C60" s="100" t="s">
        <v>44</v>
      </c>
      <c r="D60" s="186">
        <v>287</v>
      </c>
      <c r="E60" s="90"/>
      <c r="F60" s="91"/>
      <c r="G60" s="92">
        <f t="shared" si="1"/>
        <v>0</v>
      </c>
      <c r="I60" s="26">
        <f>22*13.025</f>
        <v>286.55</v>
      </c>
    </row>
    <row r="61" spans="1:9" s="26" customFormat="1" x14ac:dyDescent="0.2">
      <c r="A61" s="98"/>
      <c r="B61" s="171"/>
      <c r="C61" s="100"/>
      <c r="D61" s="186"/>
      <c r="E61" s="90"/>
      <c r="F61" s="91"/>
      <c r="G61" s="92">
        <f t="shared" si="1"/>
        <v>0</v>
      </c>
    </row>
    <row r="62" spans="1:9" s="26" customFormat="1" x14ac:dyDescent="0.2">
      <c r="A62" s="98" t="s">
        <v>16</v>
      </c>
      <c r="B62" s="187" t="s">
        <v>42</v>
      </c>
      <c r="C62" s="100"/>
      <c r="D62" s="188"/>
      <c r="E62" s="90"/>
      <c r="F62" s="91"/>
      <c r="G62" s="92">
        <f t="shared" si="1"/>
        <v>0</v>
      </c>
    </row>
    <row r="63" spans="1:9" s="26" customFormat="1" ht="51" customHeight="1" x14ac:dyDescent="0.2">
      <c r="A63" s="98"/>
      <c r="B63" s="189" t="s">
        <v>43</v>
      </c>
      <c r="C63" s="100" t="s">
        <v>44</v>
      </c>
      <c r="D63" s="188"/>
      <c r="E63" s="90"/>
      <c r="F63" s="91"/>
      <c r="G63" s="92">
        <f t="shared" si="1"/>
        <v>0</v>
      </c>
      <c r="I63" s="26">
        <f>16.336*8.75</f>
        <v>142.94</v>
      </c>
    </row>
    <row r="64" spans="1:9" s="26" customFormat="1" x14ac:dyDescent="0.2">
      <c r="A64" s="98"/>
      <c r="B64" s="190"/>
      <c r="C64" s="100"/>
      <c r="D64" s="101"/>
      <c r="E64" s="90"/>
      <c r="F64" s="91"/>
      <c r="G64" s="92">
        <f t="shared" si="1"/>
        <v>0</v>
      </c>
    </row>
    <row r="65" spans="1:18" s="26" customFormat="1" x14ac:dyDescent="0.2">
      <c r="A65" s="98" t="s">
        <v>48</v>
      </c>
      <c r="B65" s="104" t="s">
        <v>45</v>
      </c>
      <c r="C65" s="100"/>
      <c r="D65" s="101"/>
      <c r="E65" s="90"/>
      <c r="F65" s="91"/>
      <c r="G65" s="92">
        <f t="shared" si="1"/>
        <v>0</v>
      </c>
    </row>
    <row r="66" spans="1:18" s="26" customFormat="1" ht="53.25" customHeight="1" x14ac:dyDescent="0.2">
      <c r="A66" s="141"/>
      <c r="B66" s="191" t="s">
        <v>46</v>
      </c>
      <c r="C66" s="191"/>
      <c r="D66" s="191"/>
      <c r="E66" s="191"/>
      <c r="F66" s="91"/>
      <c r="G66" s="92">
        <f t="shared" si="1"/>
        <v>0</v>
      </c>
      <c r="I66" s="67">
        <f>1.1*1.1*4</f>
        <v>4.8400000000000007</v>
      </c>
      <c r="J66" s="28">
        <f>1.45*1.45*7</f>
        <v>14.717500000000001</v>
      </c>
      <c r="K66" s="26">
        <f>1.35*1.35*4</f>
        <v>7.2900000000000009</v>
      </c>
      <c r="L66" s="60">
        <f>1.2*1.2*4</f>
        <v>5.76</v>
      </c>
      <c r="M66" s="26">
        <f>0.9*0.9*2</f>
        <v>1.62</v>
      </c>
      <c r="N66" s="60">
        <f>1.25*1.25*2</f>
        <v>3.125</v>
      </c>
      <c r="O66" s="68">
        <f>1.95*1.95*2</f>
        <v>7.6049999999999995</v>
      </c>
      <c r="P66" s="68">
        <f>2.05*2.05</f>
        <v>4.2024999999999997</v>
      </c>
      <c r="Q66" s="67">
        <f>SUM(I66:P66)</f>
        <v>49.16</v>
      </c>
      <c r="R66" s="60">
        <f>Q66*1.25</f>
        <v>61.449999999999996</v>
      </c>
    </row>
    <row r="67" spans="1:18" s="26" customFormat="1" ht="12.75" customHeight="1" x14ac:dyDescent="0.25">
      <c r="A67" s="98" t="s">
        <v>50</v>
      </c>
      <c r="B67" s="192" t="s">
        <v>45</v>
      </c>
      <c r="C67" s="100"/>
      <c r="D67" s="101"/>
      <c r="E67" s="90"/>
      <c r="F67" s="91"/>
      <c r="G67" s="92">
        <f t="shared" si="1"/>
        <v>0</v>
      </c>
      <c r="I67" s="26">
        <f>2.175+2.5+2.2*3+2.225+3.195*2+3.255*2+2.15+2.1*3+2.225+2.5+2.4*2+2.425+2.225+2.325</f>
        <v>51.349999999999994</v>
      </c>
      <c r="J67" s="57">
        <f>I67*0.55</f>
        <v>28.2425</v>
      </c>
      <c r="K67" s="23">
        <f>1.85+4.75+4.75+1.85+2.87+2.72+2.92+2.93*2+2.98</f>
        <v>30.55</v>
      </c>
      <c r="L67" s="69">
        <f>K67*0.55</f>
        <v>16.802500000000002</v>
      </c>
      <c r="M67" s="69">
        <f>J67+L67</f>
        <v>45.045000000000002</v>
      </c>
      <c r="N67" s="60">
        <f>M67*0.95</f>
        <v>42.792749999999998</v>
      </c>
      <c r="P67" s="60">
        <f>R66+N67</f>
        <v>104.24275</v>
      </c>
    </row>
    <row r="68" spans="1:18" s="23" customFormat="1" ht="15" x14ac:dyDescent="0.25">
      <c r="A68" s="193" t="s">
        <v>7</v>
      </c>
      <c r="B68" s="130" t="s">
        <v>230</v>
      </c>
      <c r="C68" s="100" t="s">
        <v>47</v>
      </c>
      <c r="D68" s="101">
        <v>104.24</v>
      </c>
      <c r="E68" s="90"/>
      <c r="F68" s="194"/>
      <c r="G68" s="195">
        <f t="shared" si="1"/>
        <v>0</v>
      </c>
      <c r="J68" s="57"/>
    </row>
    <row r="69" spans="1:18" s="26" customFormat="1" x14ac:dyDescent="0.2">
      <c r="A69" s="98"/>
      <c r="B69" s="196"/>
      <c r="C69" s="100"/>
      <c r="D69" s="101"/>
      <c r="E69" s="90"/>
      <c r="F69" s="139"/>
      <c r="G69" s="92">
        <f t="shared" si="1"/>
        <v>0</v>
      </c>
    </row>
    <row r="70" spans="1:18" s="26" customFormat="1" x14ac:dyDescent="0.2">
      <c r="A70" s="98" t="s">
        <v>48</v>
      </c>
      <c r="B70" s="197" t="s">
        <v>49</v>
      </c>
      <c r="C70" s="100"/>
      <c r="D70" s="101"/>
      <c r="E70" s="90"/>
      <c r="F70" s="139"/>
      <c r="G70" s="140"/>
    </row>
    <row r="71" spans="1:18" s="26" customFormat="1" ht="25.5" customHeight="1" x14ac:dyDescent="0.25">
      <c r="A71" s="98"/>
      <c r="B71" s="198" t="s">
        <v>262</v>
      </c>
      <c r="C71" s="199"/>
      <c r="D71" s="199"/>
      <c r="E71" s="199"/>
      <c r="F71" s="139"/>
      <c r="G71" s="140"/>
    </row>
    <row r="72" spans="1:18" s="26" customFormat="1" ht="25.5" customHeight="1" x14ac:dyDescent="0.25">
      <c r="A72" s="98"/>
      <c r="B72" s="178" t="s">
        <v>263</v>
      </c>
      <c r="C72" s="200"/>
      <c r="D72" s="200"/>
      <c r="E72" s="200"/>
      <c r="F72" s="139"/>
      <c r="G72" s="140"/>
    </row>
    <row r="73" spans="1:18" s="26" customFormat="1" ht="24" x14ac:dyDescent="0.2">
      <c r="A73" s="98" t="s">
        <v>176</v>
      </c>
      <c r="B73" s="201" t="s">
        <v>297</v>
      </c>
      <c r="C73" s="100" t="s">
        <v>44</v>
      </c>
      <c r="D73" s="186">
        <v>208.065</v>
      </c>
      <c r="E73" s="90"/>
      <c r="F73" s="91"/>
      <c r="G73" s="92">
        <f t="shared" ref="G73:G78" si="2">(D73*E73)+(D73*F73)</f>
        <v>0</v>
      </c>
      <c r="I73" s="26">
        <f>19.4*10.725</f>
        <v>208.06499999999997</v>
      </c>
    </row>
    <row r="74" spans="1:18" s="26" customFormat="1" ht="38.25" customHeight="1" x14ac:dyDescent="0.2">
      <c r="A74" s="98" t="s">
        <v>177</v>
      </c>
      <c r="B74" s="201" t="s">
        <v>298</v>
      </c>
      <c r="C74" s="100" t="s">
        <v>44</v>
      </c>
      <c r="D74" s="186">
        <f>D73</f>
        <v>208.065</v>
      </c>
      <c r="E74" s="90"/>
      <c r="F74" s="91"/>
      <c r="G74" s="92">
        <f t="shared" si="2"/>
        <v>0</v>
      </c>
    </row>
    <row r="75" spans="1:18" s="26" customFormat="1" x14ac:dyDescent="0.2">
      <c r="A75" s="98">
        <v>2.5</v>
      </c>
      <c r="B75" s="104" t="s">
        <v>51</v>
      </c>
      <c r="C75" s="100"/>
      <c r="D75" s="101"/>
      <c r="E75" s="90"/>
      <c r="F75" s="91"/>
      <c r="G75" s="92">
        <f t="shared" si="2"/>
        <v>0</v>
      </c>
    </row>
    <row r="76" spans="1:18" s="26" customFormat="1" ht="27" customHeight="1" x14ac:dyDescent="0.2">
      <c r="A76" s="98"/>
      <c r="B76" s="202" t="s">
        <v>52</v>
      </c>
      <c r="C76" s="100"/>
      <c r="D76" s="101"/>
      <c r="E76" s="90"/>
      <c r="F76" s="91"/>
      <c r="G76" s="92">
        <f t="shared" si="2"/>
        <v>0</v>
      </c>
    </row>
    <row r="77" spans="1:18" s="26" customFormat="1" ht="24" x14ac:dyDescent="0.2">
      <c r="A77" s="98" t="s">
        <v>176</v>
      </c>
      <c r="B77" s="202" t="s">
        <v>53</v>
      </c>
      <c r="C77" s="100" t="s">
        <v>44</v>
      </c>
      <c r="D77" s="101">
        <f>D97+D73</f>
        <v>302.27499999999998</v>
      </c>
      <c r="E77" s="90"/>
      <c r="F77" s="91"/>
      <c r="G77" s="92">
        <f t="shared" si="2"/>
        <v>0</v>
      </c>
      <c r="I77" s="28"/>
      <c r="J77" s="28"/>
    </row>
    <row r="78" spans="1:18" s="26" customFormat="1" x14ac:dyDescent="0.2">
      <c r="A78" s="98"/>
      <c r="B78" s="202"/>
      <c r="C78" s="100"/>
      <c r="D78" s="101"/>
      <c r="E78" s="90"/>
      <c r="F78" s="139"/>
      <c r="G78" s="92">
        <f t="shared" si="2"/>
        <v>0</v>
      </c>
      <c r="I78" s="28"/>
    </row>
    <row r="79" spans="1:18" s="26" customFormat="1" x14ac:dyDescent="0.2">
      <c r="A79" s="98"/>
      <c r="B79" s="202"/>
      <c r="C79" s="100"/>
      <c r="D79" s="101"/>
      <c r="E79" s="90"/>
      <c r="F79" s="139"/>
      <c r="G79" s="92"/>
      <c r="I79" s="28"/>
    </row>
    <row r="80" spans="1:18" s="26" customFormat="1" x14ac:dyDescent="0.2">
      <c r="A80" s="98"/>
      <c r="B80" s="202"/>
      <c r="C80" s="100"/>
      <c r="D80" s="101"/>
      <c r="E80" s="90"/>
      <c r="F80" s="139"/>
      <c r="G80" s="92"/>
      <c r="I80" s="28"/>
    </row>
    <row r="81" spans="1:18" s="26" customFormat="1" x14ac:dyDescent="0.2">
      <c r="A81" s="98"/>
      <c r="B81" s="202"/>
      <c r="C81" s="100"/>
      <c r="D81" s="101"/>
      <c r="E81" s="90"/>
      <c r="F81" s="139"/>
      <c r="G81" s="140"/>
    </row>
    <row r="82" spans="1:18" s="26" customFormat="1" x14ac:dyDescent="0.2">
      <c r="A82" s="98"/>
      <c r="B82" s="202"/>
      <c r="C82" s="100"/>
      <c r="D82" s="101"/>
      <c r="E82" s="90"/>
      <c r="F82" s="139"/>
      <c r="G82" s="140"/>
    </row>
    <row r="83" spans="1:18" s="26" customFormat="1" x14ac:dyDescent="0.2">
      <c r="A83" s="98"/>
      <c r="B83" s="202"/>
      <c r="C83" s="100"/>
      <c r="D83" s="101"/>
      <c r="E83" s="90"/>
      <c r="F83" s="139"/>
      <c r="G83" s="140"/>
    </row>
    <row r="84" spans="1:18" s="26" customFormat="1" x14ac:dyDescent="0.2">
      <c r="A84" s="98"/>
      <c r="B84" s="202"/>
      <c r="C84" s="100"/>
      <c r="D84" s="101"/>
      <c r="E84" s="90"/>
      <c r="F84" s="139"/>
      <c r="G84" s="140"/>
    </row>
    <row r="85" spans="1:18" s="26" customFormat="1" x14ac:dyDescent="0.2">
      <c r="A85" s="98"/>
      <c r="B85" s="202"/>
      <c r="C85" s="100"/>
      <c r="D85" s="101"/>
      <c r="E85" s="90"/>
      <c r="F85" s="139"/>
      <c r="G85" s="140"/>
    </row>
    <row r="86" spans="1:18" s="26" customFormat="1" ht="12.75" thickBot="1" x14ac:dyDescent="0.25">
      <c r="A86" s="98"/>
      <c r="B86" s="202"/>
      <c r="C86" s="100"/>
      <c r="D86" s="101"/>
      <c r="E86" s="90"/>
      <c r="F86" s="139"/>
      <c r="G86" s="140"/>
    </row>
    <row r="87" spans="1:18" s="26" customFormat="1" x14ac:dyDescent="0.2">
      <c r="A87" s="137"/>
      <c r="B87" s="147" t="s">
        <v>54</v>
      </c>
      <c r="C87" s="148"/>
      <c r="D87" s="149"/>
      <c r="E87" s="150"/>
      <c r="F87" s="158"/>
      <c r="G87" s="159"/>
    </row>
    <row r="88" spans="1:18" s="26" customFormat="1" ht="12.75" thickBot="1" x14ac:dyDescent="0.25">
      <c r="A88" s="362"/>
      <c r="B88" s="356" t="s">
        <v>55</v>
      </c>
      <c r="C88" s="368"/>
      <c r="D88" s="364"/>
      <c r="E88" s="365"/>
      <c r="F88" s="366"/>
      <c r="G88" s="367">
        <f>SUM(G60:G87)</f>
        <v>0</v>
      </c>
    </row>
    <row r="89" spans="1:18" s="26" customFormat="1" x14ac:dyDescent="0.2">
      <c r="A89" s="98"/>
      <c r="B89" s="179"/>
      <c r="C89" s="100"/>
      <c r="D89" s="101"/>
      <c r="E89" s="90"/>
      <c r="F89" s="139"/>
      <c r="G89" s="146"/>
    </row>
    <row r="90" spans="1:18" s="26" customFormat="1" x14ac:dyDescent="0.2">
      <c r="A90" s="98"/>
      <c r="B90" s="102" t="s">
        <v>56</v>
      </c>
      <c r="C90" s="100"/>
      <c r="D90" s="101"/>
      <c r="E90" s="90"/>
      <c r="F90" s="139"/>
      <c r="G90" s="140"/>
    </row>
    <row r="91" spans="1:18" s="26" customFormat="1" x14ac:dyDescent="0.2">
      <c r="A91" s="98" t="s">
        <v>57</v>
      </c>
      <c r="B91" s="203" t="s">
        <v>58</v>
      </c>
      <c r="C91" s="100"/>
      <c r="D91" s="101"/>
      <c r="E91" s="90"/>
      <c r="F91" s="139"/>
      <c r="G91" s="140"/>
    </row>
    <row r="92" spans="1:18" s="26" customFormat="1" ht="49.5" customHeight="1" x14ac:dyDescent="0.25">
      <c r="A92" s="98"/>
      <c r="B92" s="198" t="s">
        <v>242</v>
      </c>
      <c r="C92" s="199"/>
      <c r="D92" s="199"/>
      <c r="E92" s="199"/>
      <c r="F92" s="199"/>
      <c r="G92" s="204"/>
    </row>
    <row r="93" spans="1:18" s="26" customFormat="1" ht="26.25" customHeight="1" x14ac:dyDescent="0.25">
      <c r="A93" s="98"/>
      <c r="B93" s="198" t="s">
        <v>241</v>
      </c>
      <c r="C93" s="199"/>
      <c r="D93" s="199"/>
      <c r="E93" s="199"/>
      <c r="F93" s="199"/>
      <c r="G93" s="204"/>
    </row>
    <row r="94" spans="1:18" s="26" customFormat="1" ht="36" customHeight="1" x14ac:dyDescent="0.25">
      <c r="A94" s="98"/>
      <c r="B94" s="198" t="s">
        <v>167</v>
      </c>
      <c r="C94" s="199"/>
      <c r="D94" s="199"/>
      <c r="E94" s="199"/>
      <c r="F94" s="199"/>
      <c r="G94" s="204"/>
    </row>
    <row r="95" spans="1:18" s="26" customFormat="1" ht="15" customHeight="1" x14ac:dyDescent="0.2">
      <c r="A95" s="205" t="s">
        <v>62</v>
      </c>
      <c r="B95" s="206" t="s">
        <v>63</v>
      </c>
      <c r="C95" s="207"/>
      <c r="D95" s="208"/>
      <c r="E95" s="209"/>
      <c r="F95" s="210"/>
      <c r="G95" s="211"/>
      <c r="I95" s="67">
        <f>1.1*1.1*4</f>
        <v>4.8400000000000007</v>
      </c>
      <c r="J95" s="28">
        <f>1.45*1.45*7</f>
        <v>14.717500000000001</v>
      </c>
      <c r="K95" s="26">
        <f>1.35*1.35*4</f>
        <v>7.2900000000000009</v>
      </c>
      <c r="L95" s="60">
        <f>1.2*1.2*4</f>
        <v>5.76</v>
      </c>
      <c r="M95" s="26">
        <f>0.9*0.9*2</f>
        <v>1.62</v>
      </c>
      <c r="N95" s="60">
        <f>1.25*1.25*2</f>
        <v>3.125</v>
      </c>
      <c r="O95" s="68">
        <f>1.95*1.95*2</f>
        <v>7.6049999999999995</v>
      </c>
      <c r="P95" s="68">
        <f>2.05*2.05</f>
        <v>4.2024999999999997</v>
      </c>
      <c r="Q95" s="67">
        <f>SUM(I95:P95)</f>
        <v>49.16</v>
      </c>
      <c r="R95" s="60"/>
    </row>
    <row r="96" spans="1:18" s="59" customFormat="1" ht="14.25" customHeight="1" x14ac:dyDescent="0.25">
      <c r="A96" s="174"/>
      <c r="B96" s="104" t="s">
        <v>279</v>
      </c>
      <c r="C96" s="176"/>
      <c r="D96" s="177"/>
      <c r="E96" s="212"/>
      <c r="F96" s="213"/>
      <c r="G96" s="214"/>
      <c r="I96" s="26">
        <f>2.175+2.5+2.2*3+2.225+3.195*2+3.255*2+2.15+2.1*3+2.225+2.5+2.4*2+2.425+2.225+2.325</f>
        <v>51.349999999999994</v>
      </c>
      <c r="J96" s="57">
        <f>I96*0.55</f>
        <v>28.2425</v>
      </c>
      <c r="K96" s="23">
        <f>1.85+4.75+4.75+1.85+2.87+2.72+2.92+2.93*2+2.98</f>
        <v>30.55</v>
      </c>
      <c r="L96" s="69">
        <f>K96*0.55</f>
        <v>16.802500000000002</v>
      </c>
      <c r="M96" s="69">
        <f>J96+L96</f>
        <v>45.045000000000002</v>
      </c>
      <c r="N96" s="60">
        <f>M96+Q95</f>
        <v>94.204999999999998</v>
      </c>
      <c r="O96" s="26"/>
      <c r="P96" s="60">
        <f>R95+N96</f>
        <v>94.204999999999998</v>
      </c>
      <c r="Q96" s="26"/>
      <c r="R96" s="26"/>
    </row>
    <row r="97" spans="1:17" s="26" customFormat="1" ht="12" customHeight="1" x14ac:dyDescent="0.25">
      <c r="A97" s="98"/>
      <c r="B97" s="196" t="s">
        <v>292</v>
      </c>
      <c r="C97" s="100" t="s">
        <v>44</v>
      </c>
      <c r="D97" s="101">
        <v>94.21</v>
      </c>
      <c r="E97" s="90"/>
      <c r="F97" s="91"/>
      <c r="G97" s="92">
        <f t="shared" ref="G97" si="3">(D97*E97)+(D97*F97)</f>
        <v>0</v>
      </c>
      <c r="J97" s="57"/>
      <c r="K97" s="23"/>
      <c r="L97" s="23"/>
      <c r="M97" s="23"/>
    </row>
    <row r="98" spans="1:17" s="26" customFormat="1" ht="15" customHeight="1" x14ac:dyDescent="0.2">
      <c r="A98" s="215" t="s">
        <v>68</v>
      </c>
      <c r="B98" s="216" t="s">
        <v>13</v>
      </c>
      <c r="C98" s="217"/>
      <c r="D98" s="208"/>
      <c r="E98" s="209"/>
      <c r="F98" s="210"/>
      <c r="G98" s="211"/>
    </row>
    <row r="99" spans="1:17" x14ac:dyDescent="0.2">
      <c r="A99" s="218" t="s">
        <v>160</v>
      </c>
      <c r="B99" s="219" t="s">
        <v>64</v>
      </c>
      <c r="C99" s="220"/>
      <c r="D99" s="221"/>
      <c r="E99" s="222"/>
      <c r="F99" s="223"/>
      <c r="G99" s="224"/>
    </row>
    <row r="100" spans="1:17" x14ac:dyDescent="0.2">
      <c r="A100" s="98"/>
      <c r="B100" s="196" t="s">
        <v>429</v>
      </c>
      <c r="C100" s="100" t="s">
        <v>47</v>
      </c>
      <c r="D100" s="101">
        <v>9.15</v>
      </c>
      <c r="E100" s="90"/>
      <c r="F100" s="91"/>
      <c r="G100" s="92">
        <f t="shared" ref="G100" si="4">(D100*E100)+(D100*F100)</f>
        <v>0</v>
      </c>
      <c r="I100" s="33">
        <f>0.8*0.8*0.3*4</f>
        <v>0.76800000000000013</v>
      </c>
      <c r="J100" s="28">
        <f>1.15*1.15*0.3*7</f>
        <v>2.7772499999999996</v>
      </c>
      <c r="K100" s="26">
        <f>1.05*1.05*0.3*4</f>
        <v>1.323</v>
      </c>
      <c r="L100" s="60">
        <f>0.9*0.9*0.3*4</f>
        <v>0.97199999999999998</v>
      </c>
      <c r="M100" s="26">
        <f>0.6*0.6*0.3*2</f>
        <v>0.216</v>
      </c>
      <c r="N100" s="60">
        <f>0.95*0.95*0.3*2</f>
        <v>0.54149999999999998</v>
      </c>
      <c r="O100" s="22">
        <f>1.65*1.65*0.3*2</f>
        <v>1.6334999999999997</v>
      </c>
      <c r="P100" s="22">
        <f>1.75*1.75*0.3</f>
        <v>0.91874999999999996</v>
      </c>
      <c r="Q100" s="33">
        <f>SUM(I100:P100)</f>
        <v>9.1499999999999986</v>
      </c>
    </row>
    <row r="101" spans="1:17" x14ac:dyDescent="0.2">
      <c r="A101" s="98"/>
      <c r="B101" s="196" t="s">
        <v>299</v>
      </c>
      <c r="C101" s="100" t="s">
        <v>47</v>
      </c>
      <c r="D101" s="101">
        <v>8.7799999999999994</v>
      </c>
      <c r="E101" s="90"/>
      <c r="F101" s="91"/>
      <c r="G101" s="92">
        <f t="shared" ref="G101:G102" si="5">(D101*E101)+(D101*F101)</f>
        <v>0</v>
      </c>
      <c r="I101" s="22">
        <f>19.4*3+4.02*2+4.08*2+1.8*2</f>
        <v>77.999999999999986</v>
      </c>
      <c r="J101" s="28">
        <f>I146*0.25*0.45</f>
        <v>8.7749999999999986</v>
      </c>
      <c r="K101" s="28"/>
      <c r="L101" s="60"/>
      <c r="M101" s="26"/>
      <c r="N101" s="60"/>
    </row>
    <row r="102" spans="1:17" x14ac:dyDescent="0.2">
      <c r="A102" s="98"/>
      <c r="B102" s="196" t="s">
        <v>300</v>
      </c>
      <c r="C102" s="100" t="s">
        <v>47</v>
      </c>
      <c r="D102" s="101">
        <v>4.92</v>
      </c>
      <c r="E102" s="90"/>
      <c r="F102" s="91"/>
      <c r="G102" s="92">
        <f t="shared" si="5"/>
        <v>0</v>
      </c>
      <c r="I102" s="22">
        <f>19.4+4.02*3+4.08*3</f>
        <v>43.699999999999996</v>
      </c>
      <c r="J102" s="28">
        <f>I147*0.25*0.45</f>
        <v>4.9162499999999998</v>
      </c>
      <c r="K102" s="28"/>
      <c r="L102" s="60"/>
      <c r="M102" s="26"/>
      <c r="N102" s="60"/>
    </row>
    <row r="103" spans="1:17" x14ac:dyDescent="0.2">
      <c r="A103" s="225"/>
      <c r="B103" s="226"/>
      <c r="C103" s="96"/>
      <c r="D103" s="184"/>
      <c r="E103" s="90"/>
      <c r="F103" s="91"/>
      <c r="G103" s="92"/>
    </row>
    <row r="104" spans="1:17" x14ac:dyDescent="0.2">
      <c r="A104" s="218" t="s">
        <v>161</v>
      </c>
      <c r="B104" s="219" t="s">
        <v>67</v>
      </c>
      <c r="C104" s="220"/>
      <c r="D104" s="221"/>
      <c r="E104" s="222"/>
      <c r="F104" s="223"/>
      <c r="G104" s="224"/>
    </row>
    <row r="105" spans="1:17" x14ac:dyDescent="0.2">
      <c r="A105" s="227" t="s">
        <v>165</v>
      </c>
      <c r="B105" s="228" t="s">
        <v>185</v>
      </c>
      <c r="C105" s="229"/>
      <c r="D105" s="230"/>
      <c r="E105" s="231"/>
      <c r="F105" s="232"/>
      <c r="G105" s="233"/>
    </row>
    <row r="106" spans="1:17" ht="13.5" x14ac:dyDescent="0.2">
      <c r="A106" s="225"/>
      <c r="B106" s="226" t="s">
        <v>447</v>
      </c>
      <c r="C106" s="96" t="s">
        <v>150</v>
      </c>
      <c r="D106" s="184">
        <v>3.52</v>
      </c>
      <c r="E106" s="90"/>
      <c r="F106" s="91"/>
      <c r="G106" s="92">
        <f t="shared" ref="G106:G108" si="6">(D106*E106)+(D106*F106)</f>
        <v>0</v>
      </c>
      <c r="I106" s="22">
        <f>0.2*0.2*3.825*23</f>
        <v>3.5190000000000006</v>
      </c>
    </row>
    <row r="107" spans="1:17" ht="13.5" x14ac:dyDescent="0.2">
      <c r="A107" s="225"/>
      <c r="B107" s="226" t="s">
        <v>451</v>
      </c>
      <c r="C107" s="96" t="s">
        <v>150</v>
      </c>
      <c r="D107" s="184">
        <v>0.69</v>
      </c>
      <c r="E107" s="90"/>
      <c r="F107" s="91"/>
      <c r="G107" s="92">
        <f t="shared" si="6"/>
        <v>0</v>
      </c>
      <c r="I107" s="22">
        <f>0.3*0.2*3.825*3</f>
        <v>0.6885</v>
      </c>
    </row>
    <row r="108" spans="1:17" ht="13.5" x14ac:dyDescent="0.2">
      <c r="A108" s="225"/>
      <c r="B108" s="226" t="s">
        <v>450</v>
      </c>
      <c r="C108" s="96" t="s">
        <v>150</v>
      </c>
      <c r="D108" s="184">
        <v>0.34</v>
      </c>
      <c r="E108" s="90"/>
      <c r="F108" s="91"/>
      <c r="G108" s="92">
        <f t="shared" si="6"/>
        <v>0</v>
      </c>
      <c r="I108" s="22">
        <f>0.15*0.15*3.825*4</f>
        <v>0.34425</v>
      </c>
    </row>
    <row r="109" spans="1:17" x14ac:dyDescent="0.2">
      <c r="A109" s="227" t="s">
        <v>10</v>
      </c>
      <c r="B109" s="228" t="s">
        <v>212</v>
      </c>
      <c r="C109" s="229"/>
      <c r="D109" s="230"/>
      <c r="E109" s="231"/>
      <c r="F109" s="91"/>
      <c r="G109" s="92">
        <f t="shared" ref="G109:G110" si="7">(D109*E109)+(D109*F109)</f>
        <v>0</v>
      </c>
    </row>
    <row r="110" spans="1:17" ht="13.5" x14ac:dyDescent="0.2">
      <c r="A110" s="225"/>
      <c r="B110" s="226" t="s">
        <v>301</v>
      </c>
      <c r="C110" s="96" t="s">
        <v>150</v>
      </c>
      <c r="D110" s="184">
        <v>3.1</v>
      </c>
      <c r="E110" s="90"/>
      <c r="F110" s="91"/>
      <c r="G110" s="92">
        <f t="shared" si="7"/>
        <v>0</v>
      </c>
    </row>
    <row r="111" spans="1:17" x14ac:dyDescent="0.2">
      <c r="A111" s="227" t="s">
        <v>16</v>
      </c>
      <c r="B111" s="228" t="s">
        <v>215</v>
      </c>
      <c r="C111" s="229"/>
      <c r="D111" s="230"/>
      <c r="E111" s="231"/>
      <c r="F111" s="91"/>
      <c r="G111" s="92">
        <f t="shared" ref="G111:G112" si="8">(D111*E111)+(D111*F111)</f>
        <v>0</v>
      </c>
    </row>
    <row r="112" spans="1:17" ht="13.5" x14ac:dyDescent="0.2">
      <c r="A112" s="225"/>
      <c r="B112" s="226" t="s">
        <v>424</v>
      </c>
      <c r="C112" s="96" t="s">
        <v>150</v>
      </c>
      <c r="D112" s="184">
        <v>22.94</v>
      </c>
      <c r="E112" s="90"/>
      <c r="F112" s="91"/>
      <c r="G112" s="92">
        <f t="shared" si="8"/>
        <v>0</v>
      </c>
      <c r="I112" s="22">
        <f>19.4*11.525*0.1</f>
        <v>22.358499999999999</v>
      </c>
      <c r="J112" s="22">
        <f>19.4*0.15*2*0.1</f>
        <v>0.58199999999999996</v>
      </c>
      <c r="K112" s="22">
        <f>SUM(I112:J112)</f>
        <v>22.9405</v>
      </c>
    </row>
    <row r="113" spans="1:12" x14ac:dyDescent="0.2">
      <c r="A113" s="227" t="s">
        <v>48</v>
      </c>
      <c r="B113" s="228" t="s">
        <v>425</v>
      </c>
      <c r="C113" s="229"/>
      <c r="D113" s="230"/>
      <c r="E113" s="231"/>
      <c r="F113" s="91"/>
      <c r="G113" s="92">
        <f t="shared" ref="G113:G114" si="9">(D113*E113)+(D113*F113)</f>
        <v>0</v>
      </c>
    </row>
    <row r="114" spans="1:12" ht="13.5" x14ac:dyDescent="0.2">
      <c r="A114" s="225"/>
      <c r="B114" s="226" t="s">
        <v>304</v>
      </c>
      <c r="C114" s="96" t="s">
        <v>150</v>
      </c>
      <c r="D114" s="184">
        <v>0.9</v>
      </c>
      <c r="E114" s="90"/>
      <c r="F114" s="91"/>
      <c r="G114" s="92">
        <f t="shared" si="9"/>
        <v>0</v>
      </c>
      <c r="I114" s="22">
        <f>4.42*2+3*2</f>
        <v>14.84</v>
      </c>
      <c r="J114" s="22">
        <f>I114*0.2*0.3</f>
        <v>0.89039999999999997</v>
      </c>
    </row>
    <row r="115" spans="1:12" x14ac:dyDescent="0.2">
      <c r="A115" s="227" t="s">
        <v>427</v>
      </c>
      <c r="B115" s="228" t="s">
        <v>426</v>
      </c>
      <c r="C115" s="229"/>
      <c r="D115" s="230"/>
      <c r="E115" s="231"/>
      <c r="F115" s="91"/>
      <c r="G115" s="92">
        <f t="shared" ref="G115:G116" si="10">(D115*E115)+(D115*F115)</f>
        <v>0</v>
      </c>
    </row>
    <row r="116" spans="1:12" ht="13.5" x14ac:dyDescent="0.2">
      <c r="A116" s="225"/>
      <c r="B116" s="226" t="s">
        <v>311</v>
      </c>
      <c r="C116" s="96" t="s">
        <v>150</v>
      </c>
      <c r="D116" s="184">
        <v>3.05</v>
      </c>
      <c r="E116" s="90"/>
      <c r="F116" s="91"/>
      <c r="G116" s="92">
        <f t="shared" si="10"/>
        <v>0</v>
      </c>
      <c r="I116" s="22">
        <f>5.925*3.4</f>
        <v>20.145</v>
      </c>
      <c r="J116" s="22">
        <f>I116*0.15</f>
        <v>3.0217499999999999</v>
      </c>
    </row>
    <row r="117" spans="1:12" x14ac:dyDescent="0.2">
      <c r="A117" s="225"/>
      <c r="B117" s="226"/>
      <c r="C117" s="96"/>
      <c r="D117" s="184"/>
      <c r="E117" s="90"/>
      <c r="F117" s="91"/>
      <c r="G117" s="92"/>
    </row>
    <row r="118" spans="1:12" x14ac:dyDescent="0.2">
      <c r="A118" s="218" t="s">
        <v>57</v>
      </c>
      <c r="B118" s="219" t="s">
        <v>69</v>
      </c>
      <c r="C118" s="220"/>
      <c r="D118" s="221"/>
      <c r="E118" s="222"/>
      <c r="F118" s="223"/>
      <c r="G118" s="224"/>
    </row>
    <row r="119" spans="1:12" x14ac:dyDescent="0.2">
      <c r="A119" s="227" t="s">
        <v>166</v>
      </c>
      <c r="B119" s="228" t="s">
        <v>302</v>
      </c>
      <c r="C119" s="229"/>
      <c r="D119" s="230"/>
      <c r="E119" s="231"/>
      <c r="F119" s="232"/>
      <c r="G119" s="233"/>
    </row>
    <row r="120" spans="1:12" ht="13.5" x14ac:dyDescent="0.2">
      <c r="A120" s="225"/>
      <c r="B120" s="226" t="s">
        <v>304</v>
      </c>
      <c r="C120" s="96" t="s">
        <v>150</v>
      </c>
      <c r="D120" s="184">
        <v>2.38</v>
      </c>
      <c r="E120" s="90"/>
      <c r="F120" s="91"/>
      <c r="G120" s="92">
        <f t="shared" ref="G120:G122" si="11">(D120*E120)+(D120*F120)</f>
        <v>0</v>
      </c>
      <c r="I120" s="22">
        <f>16.2+19.4+2*2</f>
        <v>39.599999999999994</v>
      </c>
      <c r="J120" s="22">
        <f>I120*0.2*0.3</f>
        <v>2.3759999999999994</v>
      </c>
    </row>
    <row r="121" spans="1:12" ht="13.5" x14ac:dyDescent="0.2">
      <c r="A121" s="225"/>
      <c r="B121" s="226" t="s">
        <v>305</v>
      </c>
      <c r="C121" s="96" t="s">
        <v>150</v>
      </c>
      <c r="D121" s="184">
        <v>0.5</v>
      </c>
      <c r="E121" s="90"/>
      <c r="F121" s="91"/>
      <c r="G121" s="92">
        <f t="shared" si="11"/>
        <v>0</v>
      </c>
      <c r="I121" s="22">
        <f>8.3</f>
        <v>8.3000000000000007</v>
      </c>
      <c r="J121" s="22">
        <f t="shared" ref="J121:J123" si="12">I121*0.2*0.3</f>
        <v>0.498</v>
      </c>
    </row>
    <row r="122" spans="1:12" ht="13.5" x14ac:dyDescent="0.2">
      <c r="A122" s="225"/>
      <c r="B122" s="226" t="s">
        <v>306</v>
      </c>
      <c r="C122" s="96" t="s">
        <v>150</v>
      </c>
      <c r="D122" s="184">
        <v>1.46</v>
      </c>
      <c r="E122" s="90"/>
      <c r="F122" s="91"/>
      <c r="G122" s="92">
        <f t="shared" si="11"/>
        <v>0</v>
      </c>
      <c r="I122" s="22">
        <f>4.08*3+4.02*3</f>
        <v>24.299999999999997</v>
      </c>
      <c r="J122" s="22">
        <f t="shared" si="12"/>
        <v>1.4579999999999997</v>
      </c>
      <c r="K122" s="22">
        <f>8.3*0.15</f>
        <v>1.2450000000000001</v>
      </c>
      <c r="L122" s="22">
        <f>SUM(J122:K122)</f>
        <v>2.7029999999999998</v>
      </c>
    </row>
    <row r="123" spans="1:12" ht="13.5" x14ac:dyDescent="0.2">
      <c r="A123" s="225"/>
      <c r="B123" s="226" t="s">
        <v>307</v>
      </c>
      <c r="C123" s="96" t="s">
        <v>150</v>
      </c>
      <c r="D123" s="184">
        <v>1.1599999999999999</v>
      </c>
      <c r="E123" s="90"/>
      <c r="F123" s="91"/>
      <c r="G123" s="92">
        <f t="shared" ref="G123:G127" si="13">(D123*E123)+(D123*F123)</f>
        <v>0</v>
      </c>
      <c r="I123" s="22">
        <f>19.4</f>
        <v>19.399999999999999</v>
      </c>
      <c r="J123" s="22">
        <f t="shared" si="12"/>
        <v>1.1639999999999999</v>
      </c>
    </row>
    <row r="124" spans="1:12" ht="13.5" x14ac:dyDescent="0.2">
      <c r="A124" s="225"/>
      <c r="B124" s="226" t="s">
        <v>308</v>
      </c>
      <c r="C124" s="96" t="s">
        <v>150</v>
      </c>
      <c r="D124" s="184">
        <v>0.18</v>
      </c>
      <c r="E124" s="90"/>
      <c r="F124" s="91"/>
      <c r="G124" s="92">
        <f t="shared" si="13"/>
        <v>0</v>
      </c>
      <c r="I124" s="22">
        <f>3</f>
        <v>3</v>
      </c>
      <c r="J124" s="22">
        <f>I124*0.2*0.3</f>
        <v>0.18000000000000002</v>
      </c>
    </row>
    <row r="125" spans="1:12" ht="13.5" x14ac:dyDescent="0.2">
      <c r="A125" s="225"/>
      <c r="B125" s="226" t="s">
        <v>309</v>
      </c>
      <c r="C125" s="96" t="s">
        <v>150</v>
      </c>
      <c r="D125" s="184">
        <v>1.04</v>
      </c>
      <c r="E125" s="90"/>
      <c r="F125" s="91"/>
      <c r="G125" s="92">
        <f t="shared" si="13"/>
        <v>0</v>
      </c>
      <c r="I125" s="22">
        <v>13</v>
      </c>
      <c r="J125" s="22">
        <f>I125*0.2*0.4</f>
        <v>1.04</v>
      </c>
    </row>
    <row r="126" spans="1:12" x14ac:dyDescent="0.2">
      <c r="A126" s="227" t="s">
        <v>68</v>
      </c>
      <c r="B126" s="228" t="s">
        <v>303</v>
      </c>
      <c r="C126" s="229"/>
      <c r="D126" s="230"/>
      <c r="E126" s="231"/>
      <c r="F126" s="91"/>
      <c r="G126" s="92">
        <f t="shared" si="13"/>
        <v>0</v>
      </c>
    </row>
    <row r="127" spans="1:12" ht="13.5" x14ac:dyDescent="0.2">
      <c r="A127" s="225"/>
      <c r="B127" s="226" t="s">
        <v>310</v>
      </c>
      <c r="C127" s="96" t="s">
        <v>150</v>
      </c>
      <c r="D127" s="184">
        <v>27.06</v>
      </c>
      <c r="E127" s="90"/>
      <c r="F127" s="91"/>
      <c r="G127" s="92">
        <f t="shared" si="13"/>
        <v>0</v>
      </c>
      <c r="I127" s="22">
        <f>16.2*8.5</f>
        <v>137.69999999999999</v>
      </c>
      <c r="J127" s="22">
        <f>19.4*2.2</f>
        <v>42.68</v>
      </c>
      <c r="K127" s="22">
        <f>SUM(I127:J127)</f>
        <v>180.38</v>
      </c>
      <c r="L127" s="22">
        <f>K127*0.15</f>
        <v>27.056999999999999</v>
      </c>
    </row>
    <row r="128" spans="1:12" x14ac:dyDescent="0.2">
      <c r="A128" s="227" t="s">
        <v>71</v>
      </c>
      <c r="B128" s="228" t="s">
        <v>185</v>
      </c>
      <c r="C128" s="229"/>
      <c r="D128" s="230"/>
      <c r="E128" s="231"/>
      <c r="F128" s="232"/>
      <c r="G128" s="233"/>
    </row>
    <row r="129" spans="1:13" ht="13.5" x14ac:dyDescent="0.2">
      <c r="A129" s="225"/>
      <c r="B129" s="226" t="s">
        <v>448</v>
      </c>
      <c r="C129" s="96" t="s">
        <v>150</v>
      </c>
      <c r="D129" s="184">
        <v>2.81</v>
      </c>
      <c r="E129" s="90"/>
      <c r="F129" s="91"/>
      <c r="G129" s="92">
        <f t="shared" ref="G129:G131" si="14">(D129*E129)+(D129*F129)</f>
        <v>0</v>
      </c>
      <c r="I129" s="22">
        <f>0.2*0.2*3.05*23</f>
        <v>2.806</v>
      </c>
    </row>
    <row r="130" spans="1:13" ht="13.5" x14ac:dyDescent="0.2">
      <c r="A130" s="225"/>
      <c r="B130" s="226" t="s">
        <v>449</v>
      </c>
      <c r="C130" s="96" t="s">
        <v>150</v>
      </c>
      <c r="D130" s="184">
        <v>0.55000000000000004</v>
      </c>
      <c r="E130" s="90"/>
      <c r="F130" s="91"/>
      <c r="G130" s="92">
        <f t="shared" si="14"/>
        <v>0</v>
      </c>
      <c r="I130" s="22">
        <f>0.3*0.2*3.05*3</f>
        <v>0.54899999999999993</v>
      </c>
    </row>
    <row r="131" spans="1:13" ht="13.5" x14ac:dyDescent="0.2">
      <c r="A131" s="225"/>
      <c r="B131" s="226" t="s">
        <v>430</v>
      </c>
      <c r="C131" s="96" t="s">
        <v>150</v>
      </c>
      <c r="D131" s="184">
        <v>0.27500000000000002</v>
      </c>
      <c r="E131" s="90"/>
      <c r="F131" s="91"/>
      <c r="G131" s="92">
        <f t="shared" si="14"/>
        <v>0</v>
      </c>
      <c r="I131" s="22">
        <f>0.15*0.15*3.05*4</f>
        <v>0.27449999999999997</v>
      </c>
    </row>
    <row r="132" spans="1:13" x14ac:dyDescent="0.2">
      <c r="A132" s="225"/>
      <c r="B132" s="226"/>
      <c r="C132" s="96"/>
      <c r="D132" s="184"/>
      <c r="E132" s="90"/>
      <c r="F132" s="91"/>
      <c r="G132" s="92"/>
    </row>
    <row r="133" spans="1:13" x14ac:dyDescent="0.2">
      <c r="A133" s="218" t="s">
        <v>162</v>
      </c>
      <c r="B133" s="219" t="s">
        <v>282</v>
      </c>
      <c r="C133" s="220"/>
      <c r="D133" s="221"/>
      <c r="E133" s="222"/>
      <c r="F133" s="223"/>
      <c r="G133" s="224"/>
    </row>
    <row r="134" spans="1:13" x14ac:dyDescent="0.2">
      <c r="A134" s="227" t="s">
        <v>103</v>
      </c>
      <c r="B134" s="228" t="s">
        <v>295</v>
      </c>
      <c r="C134" s="229"/>
      <c r="D134" s="230"/>
      <c r="E134" s="231"/>
      <c r="F134" s="232"/>
      <c r="G134" s="233"/>
    </row>
    <row r="135" spans="1:13" ht="13.5" x14ac:dyDescent="0.2">
      <c r="A135" s="225"/>
      <c r="B135" s="226" t="s">
        <v>314</v>
      </c>
      <c r="C135" s="96" t="s">
        <v>150</v>
      </c>
      <c r="D135" s="184">
        <v>1.17</v>
      </c>
      <c r="E135" s="90"/>
      <c r="F135" s="91"/>
      <c r="G135" s="92">
        <f t="shared" ref="G135:G137" si="15">(D135*E135)+(D135*F135)</f>
        <v>0</v>
      </c>
      <c r="I135" s="22">
        <v>13</v>
      </c>
      <c r="J135" s="22">
        <f>I135*0.2*0.45</f>
        <v>1.1700000000000002</v>
      </c>
    </row>
    <row r="136" spans="1:13" ht="13.5" x14ac:dyDescent="0.2">
      <c r="A136" s="225"/>
      <c r="B136" s="226" t="s">
        <v>313</v>
      </c>
      <c r="C136" s="96" t="s">
        <v>150</v>
      </c>
      <c r="D136" s="184">
        <v>0.57599999999999996</v>
      </c>
      <c r="E136" s="90"/>
      <c r="F136" s="91"/>
      <c r="G136" s="92">
        <f t="shared" si="15"/>
        <v>0</v>
      </c>
      <c r="I136" s="22">
        <f>3.2*2</f>
        <v>6.4</v>
      </c>
      <c r="J136" s="22">
        <f>I136*0.2*0.45</f>
        <v>0.57600000000000018</v>
      </c>
    </row>
    <row r="137" spans="1:13" ht="14.25" thickBot="1" x14ac:dyDescent="0.25">
      <c r="A137" s="369"/>
      <c r="B137" s="370" t="s">
        <v>312</v>
      </c>
      <c r="C137" s="357" t="s">
        <v>150</v>
      </c>
      <c r="D137" s="371">
        <v>8.6159999999999997</v>
      </c>
      <c r="E137" s="365"/>
      <c r="F137" s="358"/>
      <c r="G137" s="372">
        <f t="shared" si="15"/>
        <v>0</v>
      </c>
      <c r="I137" s="22">
        <f>19.4*3+4.08*5+4.02*5+1.8*5</f>
        <v>107.69999999999999</v>
      </c>
      <c r="J137" s="22">
        <f>I137*0.2*0.4</f>
        <v>8.6159999999999997</v>
      </c>
    </row>
    <row r="138" spans="1:13" x14ac:dyDescent="0.2">
      <c r="A138" s="225"/>
      <c r="B138" s="226"/>
      <c r="C138" s="96"/>
      <c r="D138" s="184"/>
      <c r="E138" s="90"/>
      <c r="F138" s="91"/>
      <c r="G138" s="92"/>
    </row>
    <row r="139" spans="1:13" x14ac:dyDescent="0.2">
      <c r="A139" s="205" t="s">
        <v>71</v>
      </c>
      <c r="B139" s="234" t="s">
        <v>12</v>
      </c>
      <c r="C139" s="217"/>
      <c r="D139" s="208"/>
      <c r="E139" s="209"/>
      <c r="F139" s="208"/>
      <c r="G139" s="235"/>
      <c r="M139" s="22" t="e">
        <f>#REF!-#REF!</f>
        <v>#REF!</v>
      </c>
    </row>
    <row r="140" spans="1:13" ht="25.5" customHeight="1" x14ac:dyDescent="0.2">
      <c r="A140" s="98"/>
      <c r="B140" s="178" t="s">
        <v>141</v>
      </c>
      <c r="C140" s="178"/>
      <c r="D140" s="178"/>
      <c r="E140" s="178"/>
      <c r="F140" s="178"/>
      <c r="G140" s="236"/>
    </row>
    <row r="141" spans="1:13" ht="59.25" customHeight="1" x14ac:dyDescent="0.2">
      <c r="A141" s="98"/>
      <c r="B141" s="178" t="s">
        <v>72</v>
      </c>
      <c r="C141" s="178"/>
      <c r="D141" s="178"/>
      <c r="E141" s="178"/>
      <c r="F141" s="178"/>
      <c r="G141" s="236"/>
    </row>
    <row r="142" spans="1:13" ht="42" customHeight="1" x14ac:dyDescent="0.2">
      <c r="A142" s="98"/>
      <c r="B142" s="178" t="s">
        <v>73</v>
      </c>
      <c r="C142" s="178"/>
      <c r="D142" s="178"/>
      <c r="E142" s="178"/>
      <c r="F142" s="178"/>
      <c r="G142" s="236"/>
    </row>
    <row r="143" spans="1:13" ht="45.75" customHeight="1" x14ac:dyDescent="0.2">
      <c r="A143" s="98"/>
      <c r="B143" s="131" t="s">
        <v>74</v>
      </c>
      <c r="C143" s="131"/>
      <c r="D143" s="131"/>
      <c r="E143" s="131"/>
      <c r="F143" s="131"/>
      <c r="G143" s="237"/>
    </row>
    <row r="144" spans="1:13" x14ac:dyDescent="0.2">
      <c r="A144" s="218" t="s">
        <v>160</v>
      </c>
      <c r="B144" s="219" t="s">
        <v>64</v>
      </c>
      <c r="C144" s="220"/>
      <c r="D144" s="221"/>
      <c r="E144" s="222"/>
      <c r="F144" s="223"/>
      <c r="G144" s="224"/>
    </row>
    <row r="145" spans="1:17" ht="13.5" x14ac:dyDescent="0.2">
      <c r="A145" s="98"/>
      <c r="B145" s="196" t="s">
        <v>428</v>
      </c>
      <c r="C145" s="238" t="s">
        <v>152</v>
      </c>
      <c r="D145" s="101">
        <v>32.64</v>
      </c>
      <c r="E145" s="90"/>
      <c r="F145" s="91"/>
      <c r="G145" s="92">
        <f t="shared" ref="G145:G147" si="16">(D145*E145)+(D145*F145)</f>
        <v>0</v>
      </c>
      <c r="I145" s="33">
        <f>0.8*4*0.3*4</f>
        <v>3.84</v>
      </c>
      <c r="J145" s="28">
        <f>1.15*4*0.3*7</f>
        <v>9.66</v>
      </c>
      <c r="K145" s="26">
        <f>1.05*4*0.3*4</f>
        <v>5.04</v>
      </c>
      <c r="L145" s="60">
        <f>0.9*4*0.3*4</f>
        <v>4.32</v>
      </c>
      <c r="M145" s="26">
        <f>0.6*4*0.3*2</f>
        <v>1.44</v>
      </c>
      <c r="N145" s="60">
        <f>0.95*4*0.3*2</f>
        <v>2.2799999999999998</v>
      </c>
      <c r="O145" s="22">
        <f>1.65*4*0.3*2</f>
        <v>3.9599999999999995</v>
      </c>
      <c r="P145" s="22">
        <f>1.75*4*0.3</f>
        <v>2.1</v>
      </c>
      <c r="Q145" s="33">
        <f>SUM(I145:P145)</f>
        <v>32.64</v>
      </c>
    </row>
    <row r="146" spans="1:17" ht="13.5" x14ac:dyDescent="0.2">
      <c r="A146" s="98"/>
      <c r="B146" s="196" t="s">
        <v>299</v>
      </c>
      <c r="C146" s="238" t="s">
        <v>152</v>
      </c>
      <c r="D146" s="101">
        <v>70.2</v>
      </c>
      <c r="E146" s="90"/>
      <c r="F146" s="91"/>
      <c r="G146" s="92">
        <f t="shared" si="16"/>
        <v>0</v>
      </c>
      <c r="I146" s="22">
        <f>19.4*3+4.02*2+4.08*2+1.8*2</f>
        <v>77.999999999999986</v>
      </c>
      <c r="J146" s="28">
        <f>I146*2*0.45</f>
        <v>70.199999999999989</v>
      </c>
      <c r="K146" s="28"/>
      <c r="L146" s="60"/>
      <c r="M146" s="26"/>
      <c r="N146" s="60"/>
    </row>
    <row r="147" spans="1:17" ht="13.5" x14ac:dyDescent="0.2">
      <c r="A147" s="98"/>
      <c r="B147" s="196" t="s">
        <v>300</v>
      </c>
      <c r="C147" s="238" t="s">
        <v>152</v>
      </c>
      <c r="D147" s="101">
        <v>39.33</v>
      </c>
      <c r="E147" s="90"/>
      <c r="F147" s="91"/>
      <c r="G147" s="92">
        <f t="shared" si="16"/>
        <v>0</v>
      </c>
      <c r="I147" s="22">
        <f>19.4+4.02*3+4.08*3</f>
        <v>43.699999999999996</v>
      </c>
      <c r="J147" s="28">
        <f>I147*2*0.45</f>
        <v>39.33</v>
      </c>
      <c r="K147" s="28"/>
      <c r="L147" s="60"/>
      <c r="M147" s="26"/>
      <c r="N147" s="60"/>
    </row>
    <row r="148" spans="1:17" x14ac:dyDescent="0.2">
      <c r="A148" s="225"/>
      <c r="B148" s="226"/>
      <c r="C148" s="96"/>
      <c r="D148" s="184"/>
      <c r="E148" s="90"/>
      <c r="F148" s="91"/>
      <c r="G148" s="92"/>
    </row>
    <row r="149" spans="1:17" x14ac:dyDescent="0.2">
      <c r="A149" s="218" t="s">
        <v>161</v>
      </c>
      <c r="B149" s="219" t="s">
        <v>67</v>
      </c>
      <c r="C149" s="220"/>
      <c r="D149" s="221"/>
      <c r="E149" s="222"/>
      <c r="F149" s="223"/>
      <c r="G149" s="224"/>
    </row>
    <row r="150" spans="1:17" x14ac:dyDescent="0.2">
      <c r="A150" s="227" t="s">
        <v>165</v>
      </c>
      <c r="B150" s="228" t="s">
        <v>185</v>
      </c>
      <c r="C150" s="229"/>
      <c r="D150" s="230"/>
      <c r="E150" s="231"/>
      <c r="F150" s="232"/>
      <c r="G150" s="233"/>
    </row>
    <row r="151" spans="1:17" ht="13.5" x14ac:dyDescent="0.2">
      <c r="A151" s="225"/>
      <c r="B151" s="226" t="s">
        <v>447</v>
      </c>
      <c r="C151" s="238" t="s">
        <v>152</v>
      </c>
      <c r="D151" s="184">
        <v>85.65</v>
      </c>
      <c r="E151" s="90"/>
      <c r="F151" s="91"/>
      <c r="G151" s="92">
        <f t="shared" ref="G151:G157" si="17">(D151*E151)+(D151*F151)</f>
        <v>0</v>
      </c>
      <c r="I151" s="22">
        <f>0.2*4*3.825*23</f>
        <v>70.38000000000001</v>
      </c>
    </row>
    <row r="152" spans="1:17" ht="13.5" x14ac:dyDescent="0.2">
      <c r="A152" s="225"/>
      <c r="B152" s="226" t="s">
        <v>451</v>
      </c>
      <c r="C152" s="238" t="s">
        <v>152</v>
      </c>
      <c r="D152" s="184">
        <v>13.77</v>
      </c>
      <c r="E152" s="90"/>
      <c r="F152" s="91"/>
      <c r="G152" s="92">
        <f t="shared" si="17"/>
        <v>0</v>
      </c>
      <c r="I152" s="22">
        <f>1.2*3.825*3</f>
        <v>13.77</v>
      </c>
    </row>
    <row r="153" spans="1:17" ht="13.5" x14ac:dyDescent="0.2">
      <c r="A153" s="225"/>
      <c r="B153" s="226" t="s">
        <v>450</v>
      </c>
      <c r="C153" s="238" t="s">
        <v>152</v>
      </c>
      <c r="D153" s="184">
        <v>9.18</v>
      </c>
      <c r="E153" s="90"/>
      <c r="F153" s="91"/>
      <c r="G153" s="92">
        <f t="shared" si="17"/>
        <v>0</v>
      </c>
      <c r="I153" s="22">
        <f>0.15*4*3.825*4</f>
        <v>9.18</v>
      </c>
    </row>
    <row r="154" spans="1:17" x14ac:dyDescent="0.2">
      <c r="A154" s="227" t="s">
        <v>10</v>
      </c>
      <c r="B154" s="228" t="s">
        <v>212</v>
      </c>
      <c r="C154" s="229"/>
      <c r="D154" s="230"/>
      <c r="E154" s="231"/>
      <c r="F154" s="91"/>
      <c r="G154" s="92">
        <f t="shared" si="17"/>
        <v>0</v>
      </c>
    </row>
    <row r="155" spans="1:17" ht="13.5" x14ac:dyDescent="0.2">
      <c r="A155" s="225"/>
      <c r="B155" s="226" t="s">
        <v>301</v>
      </c>
      <c r="C155" s="238" t="s">
        <v>152</v>
      </c>
      <c r="D155" s="184">
        <v>28.5</v>
      </c>
      <c r="E155" s="90"/>
      <c r="F155" s="91"/>
      <c r="G155" s="92">
        <f t="shared" si="17"/>
        <v>0</v>
      </c>
    </row>
    <row r="156" spans="1:17" x14ac:dyDescent="0.2">
      <c r="A156" s="227" t="s">
        <v>16</v>
      </c>
      <c r="B156" s="228" t="s">
        <v>215</v>
      </c>
      <c r="C156" s="229"/>
      <c r="D156" s="230"/>
      <c r="E156" s="231"/>
      <c r="F156" s="91"/>
      <c r="G156" s="92">
        <f t="shared" si="17"/>
        <v>0</v>
      </c>
    </row>
    <row r="157" spans="1:17" ht="13.5" x14ac:dyDescent="0.2">
      <c r="A157" s="225"/>
      <c r="B157" s="226" t="s">
        <v>424</v>
      </c>
      <c r="C157" s="96" t="s">
        <v>150</v>
      </c>
      <c r="D157" s="184">
        <v>28.18</v>
      </c>
      <c r="E157" s="90"/>
      <c r="F157" s="91"/>
      <c r="G157" s="92">
        <f t="shared" si="17"/>
        <v>0</v>
      </c>
      <c r="I157" s="22">
        <f>19.4*11.525*0.1</f>
        <v>22.358499999999999</v>
      </c>
      <c r="J157" s="22">
        <f>19.4*0.15*2</f>
        <v>5.8199999999999994</v>
      </c>
      <c r="K157" s="22">
        <f>SUM(I157:J157)</f>
        <v>28.1785</v>
      </c>
    </row>
    <row r="158" spans="1:17" x14ac:dyDescent="0.2">
      <c r="A158" s="227" t="s">
        <v>48</v>
      </c>
      <c r="B158" s="228" t="s">
        <v>425</v>
      </c>
      <c r="C158" s="96"/>
      <c r="D158" s="184"/>
      <c r="E158" s="90"/>
      <c r="F158" s="91"/>
      <c r="G158" s="92"/>
    </row>
    <row r="159" spans="1:17" ht="13.5" x14ac:dyDescent="0.2">
      <c r="A159" s="225"/>
      <c r="B159" s="226" t="s">
        <v>304</v>
      </c>
      <c r="C159" s="238" t="s">
        <v>152</v>
      </c>
      <c r="D159" s="184">
        <v>16.324000000000002</v>
      </c>
      <c r="E159" s="90"/>
      <c r="F159" s="91"/>
      <c r="G159" s="92">
        <f t="shared" ref="G159" si="18">(D159*E159)+(D159*F159)</f>
        <v>0</v>
      </c>
      <c r="I159" s="22">
        <f>4.42*2+3*2</f>
        <v>14.84</v>
      </c>
      <c r="J159" s="22">
        <f>I159*1.1</f>
        <v>16.324000000000002</v>
      </c>
    </row>
    <row r="160" spans="1:17" x14ac:dyDescent="0.2">
      <c r="A160" s="227" t="s">
        <v>427</v>
      </c>
      <c r="B160" s="228" t="s">
        <v>426</v>
      </c>
      <c r="C160" s="96"/>
      <c r="D160" s="184"/>
      <c r="E160" s="90"/>
      <c r="F160" s="91"/>
      <c r="G160" s="92"/>
    </row>
    <row r="161" spans="1:12" ht="13.5" x14ac:dyDescent="0.2">
      <c r="A161" s="225"/>
      <c r="B161" s="226" t="s">
        <v>311</v>
      </c>
      <c r="C161" s="238" t="s">
        <v>152</v>
      </c>
      <c r="D161" s="184">
        <v>20.149999999999999</v>
      </c>
      <c r="E161" s="90"/>
      <c r="F161" s="91"/>
      <c r="G161" s="92">
        <f t="shared" ref="G161" si="19">(D161*E161)+(D161*F161)</f>
        <v>0</v>
      </c>
      <c r="I161" s="22">
        <f>5.925*3.4</f>
        <v>20.145</v>
      </c>
    </row>
    <row r="162" spans="1:12" x14ac:dyDescent="0.2">
      <c r="A162" s="225"/>
      <c r="B162" s="226"/>
      <c r="C162" s="96"/>
      <c r="D162" s="184"/>
      <c r="E162" s="90"/>
      <c r="F162" s="91"/>
      <c r="G162" s="92"/>
    </row>
    <row r="163" spans="1:12" x14ac:dyDescent="0.2">
      <c r="A163" s="218" t="s">
        <v>57</v>
      </c>
      <c r="B163" s="219" t="s">
        <v>69</v>
      </c>
      <c r="C163" s="220"/>
      <c r="D163" s="221"/>
      <c r="E163" s="222"/>
      <c r="F163" s="223"/>
      <c r="G163" s="224"/>
    </row>
    <row r="164" spans="1:12" x14ac:dyDescent="0.2">
      <c r="A164" s="227" t="s">
        <v>166</v>
      </c>
      <c r="B164" s="228" t="s">
        <v>302</v>
      </c>
      <c r="C164" s="229"/>
      <c r="D164" s="230"/>
      <c r="E164" s="231"/>
      <c r="F164" s="232"/>
      <c r="G164" s="233"/>
    </row>
    <row r="165" spans="1:12" ht="13.5" x14ac:dyDescent="0.2">
      <c r="A165" s="225"/>
      <c r="B165" s="226" t="s">
        <v>304</v>
      </c>
      <c r="C165" s="238" t="s">
        <v>152</v>
      </c>
      <c r="D165" s="184">
        <v>41.58</v>
      </c>
      <c r="E165" s="90"/>
      <c r="F165" s="91"/>
      <c r="G165" s="92">
        <f t="shared" ref="G165:G172" si="20">(D165*E165)+(D165*F165)</f>
        <v>0</v>
      </c>
      <c r="I165" s="22">
        <f>16.2+19.4+2*2</f>
        <v>39.599999999999994</v>
      </c>
      <c r="J165" s="22">
        <f>I165*1.05</f>
        <v>41.58</v>
      </c>
    </row>
    <row r="166" spans="1:12" ht="13.5" x14ac:dyDescent="0.2">
      <c r="A166" s="225"/>
      <c r="B166" s="226" t="s">
        <v>305</v>
      </c>
      <c r="C166" s="238" t="s">
        <v>152</v>
      </c>
      <c r="D166" s="184">
        <v>8.7200000000000006</v>
      </c>
      <c r="E166" s="90"/>
      <c r="F166" s="91"/>
      <c r="G166" s="92">
        <f t="shared" si="20"/>
        <v>0</v>
      </c>
      <c r="I166" s="22">
        <f>8.3</f>
        <v>8.3000000000000007</v>
      </c>
      <c r="J166" s="22">
        <f>I166*1.05</f>
        <v>8.7150000000000016</v>
      </c>
    </row>
    <row r="167" spans="1:12" ht="13.5" x14ac:dyDescent="0.2">
      <c r="A167" s="225"/>
      <c r="B167" s="226" t="s">
        <v>306</v>
      </c>
      <c r="C167" s="238" t="s">
        <v>152</v>
      </c>
      <c r="D167" s="184">
        <v>22.95</v>
      </c>
      <c r="E167" s="90"/>
      <c r="F167" s="91"/>
      <c r="G167" s="92">
        <f t="shared" si="20"/>
        <v>0</v>
      </c>
      <c r="I167" s="22">
        <f>4.08*3+4.02*3</f>
        <v>24.299999999999997</v>
      </c>
      <c r="J167" s="22">
        <f>I167*0.9</f>
        <v>21.869999999999997</v>
      </c>
      <c r="K167" s="22">
        <f>8.3*0.13</f>
        <v>1.0790000000000002</v>
      </c>
      <c r="L167" s="22">
        <f>SUM(J167:K167)</f>
        <v>22.948999999999998</v>
      </c>
    </row>
    <row r="168" spans="1:12" ht="13.5" x14ac:dyDescent="0.2">
      <c r="A168" s="225"/>
      <c r="B168" s="226" t="s">
        <v>307</v>
      </c>
      <c r="C168" s="238" t="s">
        <v>152</v>
      </c>
      <c r="D168" s="184">
        <v>17.46</v>
      </c>
      <c r="E168" s="90"/>
      <c r="F168" s="91"/>
      <c r="G168" s="92">
        <f t="shared" si="20"/>
        <v>0</v>
      </c>
      <c r="I168" s="22">
        <f>19.4</f>
        <v>19.399999999999999</v>
      </c>
      <c r="J168" s="22">
        <f>I168*0.9</f>
        <v>17.46</v>
      </c>
    </row>
    <row r="169" spans="1:12" ht="13.5" x14ac:dyDescent="0.2">
      <c r="A169" s="225"/>
      <c r="B169" s="226" t="s">
        <v>308</v>
      </c>
      <c r="C169" s="238" t="s">
        <v>152</v>
      </c>
      <c r="D169" s="184">
        <v>3.3</v>
      </c>
      <c r="E169" s="90"/>
      <c r="F169" s="91"/>
      <c r="G169" s="92">
        <f t="shared" si="20"/>
        <v>0</v>
      </c>
      <c r="I169" s="22">
        <f>3</f>
        <v>3</v>
      </c>
      <c r="J169" s="22">
        <f>I169*1.1</f>
        <v>3.3000000000000003</v>
      </c>
    </row>
    <row r="170" spans="1:12" ht="13.5" x14ac:dyDescent="0.2">
      <c r="A170" s="225"/>
      <c r="B170" s="226" t="s">
        <v>309</v>
      </c>
      <c r="C170" s="238" t="s">
        <v>152</v>
      </c>
      <c r="D170" s="184">
        <v>14.3</v>
      </c>
      <c r="E170" s="90"/>
      <c r="F170" s="91"/>
      <c r="G170" s="92">
        <f t="shared" si="20"/>
        <v>0</v>
      </c>
      <c r="I170" s="22">
        <v>13</v>
      </c>
      <c r="J170" s="22">
        <f>I170*1.1</f>
        <v>14.3</v>
      </c>
    </row>
    <row r="171" spans="1:12" x14ac:dyDescent="0.2">
      <c r="A171" s="227" t="s">
        <v>68</v>
      </c>
      <c r="B171" s="228" t="s">
        <v>303</v>
      </c>
      <c r="C171" s="229"/>
      <c r="D171" s="230"/>
      <c r="E171" s="231"/>
      <c r="F171" s="91"/>
      <c r="G171" s="92">
        <f t="shared" si="20"/>
        <v>0</v>
      </c>
    </row>
    <row r="172" spans="1:12" ht="13.5" x14ac:dyDescent="0.2">
      <c r="A172" s="225"/>
      <c r="B172" s="226" t="s">
        <v>310</v>
      </c>
      <c r="C172" s="238" t="s">
        <v>152</v>
      </c>
      <c r="D172" s="184">
        <v>180.38</v>
      </c>
      <c r="E172" s="90"/>
      <c r="F172" s="91"/>
      <c r="G172" s="92">
        <f t="shared" si="20"/>
        <v>0</v>
      </c>
      <c r="I172" s="22">
        <f>16.2*8.5</f>
        <v>137.69999999999999</v>
      </c>
      <c r="J172" s="22">
        <f>19.4*2.2</f>
        <v>42.68</v>
      </c>
      <c r="K172" s="22">
        <f>SUM(I172:J172)</f>
        <v>180.38</v>
      </c>
    </row>
    <row r="173" spans="1:12" x14ac:dyDescent="0.2">
      <c r="A173" s="227" t="s">
        <v>71</v>
      </c>
      <c r="B173" s="228" t="s">
        <v>185</v>
      </c>
      <c r="C173" s="229"/>
      <c r="D173" s="230"/>
      <c r="E173" s="231"/>
      <c r="F173" s="232"/>
      <c r="G173" s="233"/>
    </row>
    <row r="174" spans="1:12" ht="13.5" x14ac:dyDescent="0.2">
      <c r="A174" s="225"/>
      <c r="B174" s="226" t="s">
        <v>448</v>
      </c>
      <c r="C174" s="238" t="s">
        <v>152</v>
      </c>
      <c r="D174" s="184">
        <v>56.12</v>
      </c>
      <c r="E174" s="90"/>
      <c r="F174" s="91"/>
      <c r="G174" s="92">
        <f t="shared" ref="G174:G176" si="21">(D174*E174)+(D174*F174)</f>
        <v>0</v>
      </c>
      <c r="I174" s="22">
        <f>0.2*4*3.05*23</f>
        <v>56.12</v>
      </c>
    </row>
    <row r="175" spans="1:12" ht="13.5" x14ac:dyDescent="0.2">
      <c r="A175" s="225"/>
      <c r="B175" s="226" t="s">
        <v>449</v>
      </c>
      <c r="C175" s="238" t="s">
        <v>152</v>
      </c>
      <c r="D175" s="184">
        <v>10.98</v>
      </c>
      <c r="E175" s="90"/>
      <c r="F175" s="91"/>
      <c r="G175" s="92">
        <f t="shared" si="21"/>
        <v>0</v>
      </c>
      <c r="I175" s="22">
        <f>1.2*3.05*3</f>
        <v>10.979999999999999</v>
      </c>
    </row>
    <row r="176" spans="1:12" ht="13.5" x14ac:dyDescent="0.2">
      <c r="A176" s="225"/>
      <c r="B176" s="226" t="s">
        <v>430</v>
      </c>
      <c r="C176" s="238" t="s">
        <v>152</v>
      </c>
      <c r="D176" s="184">
        <v>7.32</v>
      </c>
      <c r="E176" s="90"/>
      <c r="F176" s="91"/>
      <c r="G176" s="92">
        <f t="shared" si="21"/>
        <v>0</v>
      </c>
      <c r="I176" s="22">
        <f>0.15*4*3.05*4</f>
        <v>7.3199999999999994</v>
      </c>
    </row>
    <row r="177" spans="1:11" x14ac:dyDescent="0.2">
      <c r="A177" s="225"/>
      <c r="B177" s="226"/>
      <c r="C177" s="96"/>
      <c r="D177" s="184"/>
      <c r="E177" s="90"/>
      <c r="F177" s="91"/>
      <c r="G177" s="92"/>
    </row>
    <row r="178" spans="1:11" x14ac:dyDescent="0.2">
      <c r="A178" s="218" t="s">
        <v>162</v>
      </c>
      <c r="B178" s="219" t="s">
        <v>282</v>
      </c>
      <c r="C178" s="220"/>
      <c r="D178" s="221"/>
      <c r="E178" s="222"/>
      <c r="F178" s="223"/>
      <c r="G178" s="224"/>
    </row>
    <row r="179" spans="1:11" x14ac:dyDescent="0.2">
      <c r="A179" s="227" t="s">
        <v>103</v>
      </c>
      <c r="B179" s="228" t="s">
        <v>295</v>
      </c>
      <c r="C179" s="229"/>
      <c r="D179" s="230"/>
      <c r="E179" s="231"/>
      <c r="F179" s="232"/>
      <c r="G179" s="233"/>
    </row>
    <row r="180" spans="1:11" ht="13.5" x14ac:dyDescent="0.2">
      <c r="A180" s="225"/>
      <c r="B180" s="226" t="s">
        <v>314</v>
      </c>
      <c r="C180" s="238" t="s">
        <v>152</v>
      </c>
      <c r="D180" s="184">
        <v>15.6</v>
      </c>
      <c r="E180" s="90"/>
      <c r="F180" s="91"/>
      <c r="G180" s="92">
        <f t="shared" ref="G180:G182" si="22">(D180*E180)+(D180*F180)</f>
        <v>0</v>
      </c>
      <c r="I180" s="22">
        <v>13</v>
      </c>
      <c r="J180" s="22">
        <f>I180*1.2</f>
        <v>15.6</v>
      </c>
    </row>
    <row r="181" spans="1:11" ht="13.5" x14ac:dyDescent="0.2">
      <c r="A181" s="225"/>
      <c r="B181" s="226" t="s">
        <v>313</v>
      </c>
      <c r="C181" s="238" t="s">
        <v>152</v>
      </c>
      <c r="D181" s="184">
        <v>7.68</v>
      </c>
      <c r="E181" s="90"/>
      <c r="F181" s="91"/>
      <c r="G181" s="92">
        <f t="shared" si="22"/>
        <v>0</v>
      </c>
      <c r="I181" s="22">
        <f>3.2*2</f>
        <v>6.4</v>
      </c>
      <c r="J181" s="22">
        <f>I181*1.2</f>
        <v>7.68</v>
      </c>
    </row>
    <row r="182" spans="1:11" ht="14.25" thickBot="1" x14ac:dyDescent="0.25">
      <c r="A182" s="369"/>
      <c r="B182" s="370" t="s">
        <v>312</v>
      </c>
      <c r="C182" s="373" t="s">
        <v>152</v>
      </c>
      <c r="D182" s="371">
        <v>118.47</v>
      </c>
      <c r="E182" s="365"/>
      <c r="F182" s="358"/>
      <c r="G182" s="372">
        <f t="shared" si="22"/>
        <v>0</v>
      </c>
      <c r="I182" s="22">
        <f>19.4*3+4.08*5+4.02*5+1.8*5</f>
        <v>107.69999999999999</v>
      </c>
      <c r="J182" s="22">
        <f>I182*1.1</f>
        <v>118.47</v>
      </c>
    </row>
    <row r="183" spans="1:11" x14ac:dyDescent="0.2">
      <c r="A183" s="225"/>
      <c r="B183" s="226"/>
      <c r="C183" s="238"/>
      <c r="D183" s="184"/>
      <c r="E183" s="90"/>
      <c r="F183" s="91"/>
      <c r="G183" s="92"/>
    </row>
    <row r="184" spans="1:11" x14ac:dyDescent="0.2">
      <c r="A184" s="205" t="s">
        <v>100</v>
      </c>
      <c r="B184" s="234" t="s">
        <v>11</v>
      </c>
      <c r="C184" s="217"/>
      <c r="D184" s="208"/>
      <c r="E184" s="209"/>
      <c r="F184" s="208"/>
      <c r="G184" s="235"/>
    </row>
    <row r="185" spans="1:11" ht="48" customHeight="1" x14ac:dyDescent="0.2">
      <c r="A185" s="193"/>
      <c r="B185" s="131" t="s">
        <v>101</v>
      </c>
      <c r="C185" s="131"/>
      <c r="D185" s="131"/>
      <c r="E185" s="131"/>
      <c r="F185" s="131"/>
      <c r="G185" s="237"/>
    </row>
    <row r="186" spans="1:11" ht="37.5" customHeight="1" x14ac:dyDescent="0.2">
      <c r="A186" s="174"/>
      <c r="B186" s="131" t="s">
        <v>102</v>
      </c>
      <c r="C186" s="131"/>
      <c r="D186" s="131"/>
      <c r="E186" s="131"/>
      <c r="F186" s="131"/>
      <c r="G186" s="237"/>
    </row>
    <row r="187" spans="1:11" ht="48" customHeight="1" x14ac:dyDescent="0.2">
      <c r="A187" s="193"/>
      <c r="B187" s="131" t="s">
        <v>296</v>
      </c>
      <c r="C187" s="131"/>
      <c r="D187" s="131"/>
      <c r="E187" s="131"/>
      <c r="F187" s="131"/>
      <c r="G187" s="237"/>
    </row>
    <row r="188" spans="1:11" x14ac:dyDescent="0.2">
      <c r="A188" s="218" t="s">
        <v>103</v>
      </c>
      <c r="B188" s="219" t="s">
        <v>243</v>
      </c>
      <c r="C188" s="239"/>
      <c r="D188" s="240"/>
      <c r="E188" s="241"/>
      <c r="F188" s="242"/>
      <c r="G188" s="243"/>
    </row>
    <row r="189" spans="1:11" x14ac:dyDescent="0.2">
      <c r="A189" s="218" t="s">
        <v>176</v>
      </c>
      <c r="B189" s="219" t="s">
        <v>64</v>
      </c>
      <c r="C189" s="239"/>
      <c r="D189" s="240"/>
      <c r="E189" s="241"/>
      <c r="F189" s="242"/>
      <c r="G189" s="243"/>
    </row>
    <row r="190" spans="1:11" x14ac:dyDescent="0.2">
      <c r="A190" s="225"/>
      <c r="B190" s="244" t="s">
        <v>315</v>
      </c>
      <c r="C190" s="96" t="s">
        <v>142</v>
      </c>
      <c r="D190" s="184">
        <f>I192/1000</f>
        <v>0.47952</v>
      </c>
      <c r="E190" s="185"/>
      <c r="F190" s="91"/>
      <c r="G190" s="92">
        <f t="shared" ref="G190:G192" si="23">(D190*E190)+(D190*F190)</f>
        <v>0</v>
      </c>
    </row>
    <row r="191" spans="1:11" x14ac:dyDescent="0.2">
      <c r="A191" s="225"/>
      <c r="B191" s="226" t="s">
        <v>245</v>
      </c>
      <c r="C191" s="96" t="s">
        <v>8</v>
      </c>
      <c r="D191" s="184">
        <v>90</v>
      </c>
      <c r="E191" s="185"/>
      <c r="F191" s="91"/>
      <c r="G191" s="92">
        <f t="shared" si="23"/>
        <v>0</v>
      </c>
      <c r="I191" s="33">
        <f>D191*0.888*6</f>
        <v>479.52</v>
      </c>
      <c r="J191" s="22">
        <f>14+24+20+10+3+10+8+24</f>
        <v>113</v>
      </c>
      <c r="K191" s="33"/>
    </row>
    <row r="192" spans="1:11" x14ac:dyDescent="0.2">
      <c r="A192" s="225"/>
      <c r="B192" s="226" t="s">
        <v>14</v>
      </c>
      <c r="C192" s="96" t="s">
        <v>9</v>
      </c>
      <c r="D192" s="184">
        <f>D190*20</f>
        <v>9.5904000000000007</v>
      </c>
      <c r="E192" s="185"/>
      <c r="F192" s="91"/>
      <c r="G192" s="92">
        <f t="shared" si="23"/>
        <v>0</v>
      </c>
      <c r="I192" s="33">
        <f>SUM(I190:I191)</f>
        <v>479.52</v>
      </c>
      <c r="J192" s="33"/>
    </row>
    <row r="193" spans="1:14" x14ac:dyDescent="0.2">
      <c r="A193" s="225"/>
      <c r="B193" s="244" t="s">
        <v>316</v>
      </c>
      <c r="C193" s="96" t="s">
        <v>142</v>
      </c>
      <c r="D193" s="184">
        <f>I196/1000</f>
        <v>0.74924400000000002</v>
      </c>
      <c r="E193" s="185"/>
      <c r="F193" s="91"/>
      <c r="G193" s="92">
        <f t="shared" ref="G193:G196" si="24">(D193*E193)+(D193*F193)</f>
        <v>0</v>
      </c>
      <c r="J193" s="33"/>
    </row>
    <row r="194" spans="1:14" x14ac:dyDescent="0.2">
      <c r="A194" s="225"/>
      <c r="B194" s="226" t="s">
        <v>244</v>
      </c>
      <c r="C194" s="96" t="s">
        <v>8</v>
      </c>
      <c r="D194" s="184">
        <v>64</v>
      </c>
      <c r="E194" s="185"/>
      <c r="F194" s="91"/>
      <c r="G194" s="92">
        <f t="shared" si="24"/>
        <v>0</v>
      </c>
      <c r="I194" s="33">
        <f>D194*1.58*6</f>
        <v>606.72</v>
      </c>
      <c r="J194" s="33">
        <f>19.4*3+10.7*2</f>
        <v>79.599999999999994</v>
      </c>
      <c r="K194" s="54">
        <f>J194/0.15</f>
        <v>530.66666666666663</v>
      </c>
      <c r="L194" s="54">
        <f>K194/5</f>
        <v>106.13333333333333</v>
      </c>
    </row>
    <row r="195" spans="1:14" x14ac:dyDescent="0.2">
      <c r="A195" s="225"/>
      <c r="B195" s="226" t="s">
        <v>247</v>
      </c>
      <c r="C195" s="96" t="s">
        <v>8</v>
      </c>
      <c r="D195" s="184">
        <v>107</v>
      </c>
      <c r="E195" s="185"/>
      <c r="F195" s="91"/>
      <c r="G195" s="92">
        <f t="shared" si="24"/>
        <v>0</v>
      </c>
      <c r="I195" s="33">
        <f>0.222*D195*6</f>
        <v>142.524</v>
      </c>
      <c r="J195" s="33"/>
    </row>
    <row r="196" spans="1:14" x14ac:dyDescent="0.2">
      <c r="A196" s="225"/>
      <c r="B196" s="226" t="s">
        <v>14</v>
      </c>
      <c r="C196" s="96" t="s">
        <v>9</v>
      </c>
      <c r="D196" s="184">
        <f>D193*20</f>
        <v>14.98488</v>
      </c>
      <c r="E196" s="185"/>
      <c r="F196" s="91"/>
      <c r="G196" s="92">
        <f t="shared" si="24"/>
        <v>0</v>
      </c>
      <c r="I196" s="33">
        <f>SUM(I194:I195)</f>
        <v>749.24400000000003</v>
      </c>
      <c r="J196" s="33"/>
    </row>
    <row r="197" spans="1:14" x14ac:dyDescent="0.2">
      <c r="A197" s="225"/>
      <c r="B197" s="244" t="s">
        <v>317</v>
      </c>
      <c r="C197" s="96" t="s">
        <v>142</v>
      </c>
      <c r="D197" s="184">
        <f>I200/1000</f>
        <v>0.63673200000000008</v>
      </c>
      <c r="E197" s="185"/>
      <c r="F197" s="91"/>
      <c r="G197" s="92">
        <f t="shared" ref="G197:G200" si="25">(D197*E197)+(D197*F197)</f>
        <v>0</v>
      </c>
      <c r="J197" s="33"/>
    </row>
    <row r="198" spans="1:14" x14ac:dyDescent="0.2">
      <c r="A198" s="225"/>
      <c r="B198" s="226" t="s">
        <v>244</v>
      </c>
      <c r="C198" s="96" t="s">
        <v>8</v>
      </c>
      <c r="D198" s="184">
        <v>60</v>
      </c>
      <c r="E198" s="185"/>
      <c r="F198" s="91"/>
      <c r="G198" s="92">
        <f t="shared" si="25"/>
        <v>0</v>
      </c>
      <c r="I198" s="33">
        <f>D198*1.58*6</f>
        <v>568.80000000000007</v>
      </c>
      <c r="J198" s="33">
        <f>19.4+8.7*3</f>
        <v>45.5</v>
      </c>
      <c r="K198" s="54">
        <f>J198/0.15</f>
        <v>303.33333333333337</v>
      </c>
      <c r="L198" s="54">
        <f>K198/6</f>
        <v>50.555555555555564</v>
      </c>
    </row>
    <row r="199" spans="1:14" x14ac:dyDescent="0.2">
      <c r="A199" s="225"/>
      <c r="B199" s="226" t="s">
        <v>247</v>
      </c>
      <c r="C199" s="96" t="s">
        <v>8</v>
      </c>
      <c r="D199" s="184">
        <v>51</v>
      </c>
      <c r="E199" s="185"/>
      <c r="F199" s="91"/>
      <c r="G199" s="92">
        <f t="shared" si="25"/>
        <v>0</v>
      </c>
      <c r="I199" s="33">
        <f>0.222*D199*6</f>
        <v>67.932000000000002</v>
      </c>
      <c r="J199" s="33"/>
    </row>
    <row r="200" spans="1:14" x14ac:dyDescent="0.2">
      <c r="A200" s="225"/>
      <c r="B200" s="226" t="s">
        <v>14</v>
      </c>
      <c r="C200" s="96" t="s">
        <v>9</v>
      </c>
      <c r="D200" s="184">
        <f>D197*20</f>
        <v>12.734640000000002</v>
      </c>
      <c r="E200" s="185"/>
      <c r="F200" s="91"/>
      <c r="G200" s="92">
        <f t="shared" si="25"/>
        <v>0</v>
      </c>
      <c r="I200" s="33">
        <f>SUM(I198:I199)</f>
        <v>636.73200000000008</v>
      </c>
      <c r="J200" s="33"/>
    </row>
    <row r="201" spans="1:14" x14ac:dyDescent="0.2">
      <c r="A201" s="218" t="s">
        <v>143</v>
      </c>
      <c r="B201" s="219" t="s">
        <v>67</v>
      </c>
      <c r="C201" s="239"/>
      <c r="D201" s="240"/>
      <c r="E201" s="241"/>
      <c r="F201" s="242"/>
      <c r="G201" s="243">
        <f t="shared" ref="G201" si="26">(D201*E201)+(D201*F201)</f>
        <v>0</v>
      </c>
    </row>
    <row r="202" spans="1:14" x14ac:dyDescent="0.2">
      <c r="A202" s="245" t="s">
        <v>176</v>
      </c>
      <c r="B202" s="246" t="s">
        <v>185</v>
      </c>
      <c r="C202" s="247"/>
      <c r="D202" s="248"/>
      <c r="E202" s="249"/>
      <c r="F202" s="91"/>
      <c r="G202" s="92"/>
    </row>
    <row r="203" spans="1:14" x14ac:dyDescent="0.2">
      <c r="A203" s="225" t="s">
        <v>198</v>
      </c>
      <c r="B203" s="226" t="s">
        <v>452</v>
      </c>
      <c r="C203" s="96" t="s">
        <v>142</v>
      </c>
      <c r="D203" s="184">
        <f>I206/1000</f>
        <v>0.97072800000000004</v>
      </c>
      <c r="E203" s="185"/>
      <c r="F203" s="91"/>
      <c r="G203" s="92">
        <f t="shared" ref="G203" si="27">(D203*E203)+(D203*F203)</f>
        <v>0</v>
      </c>
    </row>
    <row r="204" spans="1:14" x14ac:dyDescent="0.2">
      <c r="A204" s="227"/>
      <c r="B204" s="226" t="s">
        <v>244</v>
      </c>
      <c r="C204" s="96" t="s">
        <v>8</v>
      </c>
      <c r="D204" s="184">
        <v>92</v>
      </c>
      <c r="E204" s="185"/>
      <c r="F204" s="91"/>
      <c r="G204" s="92">
        <f t="shared" ref="G204:G206" si="28">(D204*E204)+(D204*F204)</f>
        <v>0</v>
      </c>
      <c r="I204" s="33">
        <f>D204*1.58*6</f>
        <v>872.16000000000008</v>
      </c>
      <c r="J204" s="22">
        <f>4*23</f>
        <v>92</v>
      </c>
      <c r="L204" s="22">
        <f>5.025/0.15</f>
        <v>33.500000000000007</v>
      </c>
      <c r="M204" s="22">
        <f>35*23</f>
        <v>805</v>
      </c>
      <c r="N204" s="22">
        <f>M204/11</f>
        <v>73.181818181818187</v>
      </c>
    </row>
    <row r="205" spans="1:14" x14ac:dyDescent="0.2">
      <c r="A205" s="225"/>
      <c r="B205" s="226" t="s">
        <v>247</v>
      </c>
      <c r="C205" s="96" t="s">
        <v>8</v>
      </c>
      <c r="D205" s="184">
        <v>74</v>
      </c>
      <c r="E205" s="185"/>
      <c r="F205" s="91"/>
      <c r="G205" s="92">
        <f t="shared" si="28"/>
        <v>0</v>
      </c>
      <c r="I205" s="33">
        <f>0.222*D205*6</f>
        <v>98.568000000000012</v>
      </c>
    </row>
    <row r="206" spans="1:14" x14ac:dyDescent="0.2">
      <c r="A206" s="250"/>
      <c r="B206" s="251" t="s">
        <v>14</v>
      </c>
      <c r="C206" s="252" t="s">
        <v>9</v>
      </c>
      <c r="D206" s="253">
        <f>D203*20</f>
        <v>19.414560000000002</v>
      </c>
      <c r="E206" s="73"/>
      <c r="F206" s="74"/>
      <c r="G206" s="75">
        <f t="shared" si="28"/>
        <v>0</v>
      </c>
      <c r="I206" s="33">
        <f>SUM(I204:I205)</f>
        <v>970.72800000000007</v>
      </c>
      <c r="J206" s="33"/>
    </row>
    <row r="207" spans="1:14" x14ac:dyDescent="0.2">
      <c r="A207" s="225" t="s">
        <v>199</v>
      </c>
      <c r="B207" s="226" t="s">
        <v>456</v>
      </c>
      <c r="C207" s="96" t="s">
        <v>142</v>
      </c>
      <c r="D207" s="184">
        <f>I210/1000</f>
        <v>0.268812</v>
      </c>
      <c r="E207" s="185"/>
      <c r="F207" s="91"/>
      <c r="G207" s="92">
        <f t="shared" ref="G207:G214" si="29">(D207*E207)+(D207*F207)</f>
        <v>0</v>
      </c>
      <c r="I207" s="33"/>
      <c r="J207" s="33"/>
    </row>
    <row r="208" spans="1:14" x14ac:dyDescent="0.2">
      <c r="A208" s="225"/>
      <c r="B208" s="226" t="s">
        <v>244</v>
      </c>
      <c r="C208" s="96" t="s">
        <v>8</v>
      </c>
      <c r="D208" s="184">
        <v>24</v>
      </c>
      <c r="E208" s="185"/>
      <c r="F208" s="91"/>
      <c r="G208" s="92">
        <f t="shared" si="29"/>
        <v>0</v>
      </c>
      <c r="I208" s="33">
        <f>D208*1.58*6</f>
        <v>227.52</v>
      </c>
      <c r="J208" s="22">
        <f>8*3</f>
        <v>24</v>
      </c>
      <c r="K208" s="22">
        <f>35*3</f>
        <v>105</v>
      </c>
      <c r="L208" s="22">
        <f>K208/8</f>
        <v>13.125</v>
      </c>
      <c r="M208" s="22">
        <f>K208/6</f>
        <v>17.5</v>
      </c>
      <c r="N208" s="22">
        <f>SUM(L208:M208)</f>
        <v>30.625</v>
      </c>
    </row>
    <row r="209" spans="1:12" x14ac:dyDescent="0.2">
      <c r="A209" s="225"/>
      <c r="B209" s="226" t="s">
        <v>247</v>
      </c>
      <c r="C209" s="96" t="s">
        <v>8</v>
      </c>
      <c r="D209" s="184">
        <v>31</v>
      </c>
      <c r="E209" s="185"/>
      <c r="F209" s="91"/>
      <c r="G209" s="92">
        <f t="shared" si="29"/>
        <v>0</v>
      </c>
      <c r="I209" s="33">
        <f>0.222*D209*6</f>
        <v>41.292000000000002</v>
      </c>
    </row>
    <row r="210" spans="1:12" x14ac:dyDescent="0.2">
      <c r="A210" s="225"/>
      <c r="B210" s="226" t="s">
        <v>14</v>
      </c>
      <c r="C210" s="96" t="s">
        <v>9</v>
      </c>
      <c r="D210" s="184">
        <f>D207*20</f>
        <v>5.3762400000000001</v>
      </c>
      <c r="E210" s="185"/>
      <c r="F210" s="91"/>
      <c r="G210" s="92">
        <f t="shared" si="29"/>
        <v>0</v>
      </c>
      <c r="I210" s="33">
        <f>SUM(I208:I209)</f>
        <v>268.81200000000001</v>
      </c>
      <c r="J210" s="33"/>
    </row>
    <row r="211" spans="1:12" x14ac:dyDescent="0.2">
      <c r="A211" s="225" t="s">
        <v>201</v>
      </c>
      <c r="B211" s="226" t="s">
        <v>453</v>
      </c>
      <c r="C211" s="96" t="s">
        <v>142</v>
      </c>
      <c r="D211" s="184">
        <f>I214/1000</f>
        <v>6.9888000000000006E-2</v>
      </c>
      <c r="E211" s="185"/>
      <c r="F211" s="91"/>
      <c r="G211" s="92">
        <f t="shared" si="29"/>
        <v>0</v>
      </c>
      <c r="I211" s="33"/>
      <c r="J211" s="33"/>
    </row>
    <row r="212" spans="1:12" x14ac:dyDescent="0.2">
      <c r="A212" s="225"/>
      <c r="B212" s="226" t="s">
        <v>246</v>
      </c>
      <c r="C212" s="96" t="s">
        <v>8</v>
      </c>
      <c r="D212" s="184">
        <v>16</v>
      </c>
      <c r="E212" s="185"/>
      <c r="F212" s="91"/>
      <c r="G212" s="92">
        <f t="shared" si="29"/>
        <v>0</v>
      </c>
      <c r="I212" s="33">
        <f>D212*0.617*6</f>
        <v>59.231999999999999</v>
      </c>
      <c r="J212" s="33">
        <f>33*4</f>
        <v>132</v>
      </c>
      <c r="K212" s="54">
        <f>J212/18</f>
        <v>7.333333333333333</v>
      </c>
    </row>
    <row r="213" spans="1:12" x14ac:dyDescent="0.2">
      <c r="A213" s="225"/>
      <c r="B213" s="226" t="s">
        <v>247</v>
      </c>
      <c r="C213" s="96" t="s">
        <v>8</v>
      </c>
      <c r="D213" s="184">
        <v>8</v>
      </c>
      <c r="E213" s="185"/>
      <c r="F213" s="91"/>
      <c r="G213" s="92">
        <f t="shared" si="29"/>
        <v>0</v>
      </c>
      <c r="I213" s="33">
        <f>0.222*D213*6</f>
        <v>10.656000000000001</v>
      </c>
      <c r="J213" s="33"/>
    </row>
    <row r="214" spans="1:12" x14ac:dyDescent="0.2">
      <c r="A214" s="225"/>
      <c r="B214" s="226" t="s">
        <v>14</v>
      </c>
      <c r="C214" s="96" t="s">
        <v>9</v>
      </c>
      <c r="D214" s="184">
        <f>D211*20</f>
        <v>1.3977600000000001</v>
      </c>
      <c r="E214" s="185"/>
      <c r="F214" s="91"/>
      <c r="G214" s="92">
        <f t="shared" si="29"/>
        <v>0</v>
      </c>
      <c r="I214" s="33">
        <f>SUM(I212:I213)</f>
        <v>69.888000000000005</v>
      </c>
      <c r="J214" s="33"/>
    </row>
    <row r="215" spans="1:12" x14ac:dyDescent="0.2">
      <c r="A215" s="245" t="s">
        <v>177</v>
      </c>
      <c r="B215" s="246" t="s">
        <v>212</v>
      </c>
      <c r="C215" s="247" t="s">
        <v>142</v>
      </c>
      <c r="D215" s="248">
        <f>I217/1000</f>
        <v>0.42943200000000004</v>
      </c>
      <c r="E215" s="249"/>
      <c r="F215" s="91"/>
      <c r="G215" s="92">
        <f t="shared" ref="G215:G217" si="30">(D215*E215)+(D215*F215)</f>
        <v>0</v>
      </c>
      <c r="H215" s="41"/>
      <c r="I215" s="36"/>
    </row>
    <row r="216" spans="1:12" x14ac:dyDescent="0.2">
      <c r="A216" s="250" t="s">
        <v>188</v>
      </c>
      <c r="B216" s="226" t="s">
        <v>246</v>
      </c>
      <c r="C216" s="252" t="s">
        <v>8</v>
      </c>
      <c r="D216" s="253">
        <v>116</v>
      </c>
      <c r="E216" s="73"/>
      <c r="F216" s="74"/>
      <c r="G216" s="92">
        <f t="shared" si="30"/>
        <v>0</v>
      </c>
      <c r="H216" s="41"/>
      <c r="I216" s="33">
        <f>0.617*D216*6</f>
        <v>429.43200000000002</v>
      </c>
    </row>
    <row r="217" spans="1:12" x14ac:dyDescent="0.2">
      <c r="A217" s="250"/>
      <c r="B217" s="251" t="s">
        <v>14</v>
      </c>
      <c r="C217" s="252" t="s">
        <v>9</v>
      </c>
      <c r="D217" s="253">
        <f>D215*20</f>
        <v>8.5886400000000016</v>
      </c>
      <c r="E217" s="73"/>
      <c r="F217" s="74"/>
      <c r="G217" s="92">
        <f t="shared" si="30"/>
        <v>0</v>
      </c>
      <c r="H217" s="41"/>
      <c r="I217" s="33">
        <f>SUM(I215:I216)</f>
        <v>429.43200000000002</v>
      </c>
    </row>
    <row r="218" spans="1:12" x14ac:dyDescent="0.2">
      <c r="A218" s="227" t="s">
        <v>190</v>
      </c>
      <c r="B218" s="228" t="s">
        <v>229</v>
      </c>
      <c r="C218" s="229" t="s">
        <v>142</v>
      </c>
      <c r="D218" s="230">
        <f>I220/1000</f>
        <v>0.78112200000000009</v>
      </c>
      <c r="E218" s="231"/>
      <c r="F218" s="91"/>
      <c r="G218" s="92">
        <f t="shared" ref="G218:G220" si="31">(D218*E218)+(D218*F218)</f>
        <v>0</v>
      </c>
    </row>
    <row r="219" spans="1:12" x14ac:dyDescent="0.2">
      <c r="A219" s="227"/>
      <c r="B219" s="226" t="s">
        <v>454</v>
      </c>
      <c r="C219" s="96" t="s">
        <v>8</v>
      </c>
      <c r="D219" s="184">
        <v>211</v>
      </c>
      <c r="E219" s="185"/>
      <c r="F219" s="91"/>
      <c r="G219" s="92">
        <f t="shared" si="31"/>
        <v>0</v>
      </c>
      <c r="I219" s="33">
        <f>0.617*D219*6</f>
        <v>781.12200000000007</v>
      </c>
      <c r="K219" s="22">
        <f>K127*7</f>
        <v>1262.6599999999999</v>
      </c>
      <c r="L219" s="22">
        <f>K219/6</f>
        <v>210.4433333333333</v>
      </c>
    </row>
    <row r="220" spans="1:12" x14ac:dyDescent="0.2">
      <c r="A220" s="225"/>
      <c r="B220" s="226" t="s">
        <v>14</v>
      </c>
      <c r="C220" s="96" t="s">
        <v>9</v>
      </c>
      <c r="D220" s="184">
        <f>D218*20</f>
        <v>15.622440000000001</v>
      </c>
      <c r="E220" s="185"/>
      <c r="F220" s="91"/>
      <c r="G220" s="92">
        <f t="shared" si="31"/>
        <v>0</v>
      </c>
      <c r="I220" s="33">
        <f>SUM(I218:I219)</f>
        <v>781.12200000000007</v>
      </c>
    </row>
    <row r="221" spans="1:12" x14ac:dyDescent="0.2">
      <c r="A221" s="245" t="s">
        <v>191</v>
      </c>
      <c r="B221" s="246" t="s">
        <v>431</v>
      </c>
      <c r="C221" s="247"/>
      <c r="D221" s="248"/>
      <c r="E221" s="249"/>
      <c r="F221" s="91"/>
      <c r="G221" s="92"/>
      <c r="I221" s="33"/>
    </row>
    <row r="222" spans="1:12" x14ac:dyDescent="0.2">
      <c r="A222" s="225" t="s">
        <v>198</v>
      </c>
      <c r="B222" s="226" t="s">
        <v>304</v>
      </c>
      <c r="C222" s="96" t="s">
        <v>142</v>
      </c>
      <c r="D222" s="184">
        <f>I225/1000</f>
        <v>0.22556400000000001</v>
      </c>
      <c r="E222" s="185"/>
      <c r="F222" s="91"/>
      <c r="G222" s="92">
        <f t="shared" ref="G222:G228" si="32">(D222*E222)+(D222*F222)</f>
        <v>0</v>
      </c>
    </row>
    <row r="223" spans="1:12" x14ac:dyDescent="0.2">
      <c r="A223" s="227"/>
      <c r="B223" s="226" t="s">
        <v>244</v>
      </c>
      <c r="C223" s="96" t="s">
        <v>8</v>
      </c>
      <c r="D223" s="184">
        <v>20</v>
      </c>
      <c r="E223" s="185"/>
      <c r="F223" s="91"/>
      <c r="G223" s="92">
        <f t="shared" si="32"/>
        <v>0</v>
      </c>
      <c r="I223" s="33">
        <f>D223*1.58*6</f>
        <v>189.60000000000002</v>
      </c>
      <c r="J223" s="22">
        <f>8.7+4.42+3.4+3.4</f>
        <v>19.919999999999998</v>
      </c>
      <c r="K223" s="22">
        <f>J223/0.15</f>
        <v>132.79999999999998</v>
      </c>
      <c r="L223" s="22">
        <f>K223/5</f>
        <v>26.559999999999995</v>
      </c>
    </row>
    <row r="224" spans="1:12" x14ac:dyDescent="0.2">
      <c r="A224" s="225"/>
      <c r="B224" s="226" t="s">
        <v>247</v>
      </c>
      <c r="C224" s="96" t="s">
        <v>8</v>
      </c>
      <c r="D224" s="184">
        <v>27</v>
      </c>
      <c r="E224" s="185"/>
      <c r="F224" s="91"/>
      <c r="G224" s="92">
        <f t="shared" si="32"/>
        <v>0</v>
      </c>
      <c r="I224" s="33">
        <f>0.222*D224*6</f>
        <v>35.963999999999999</v>
      </c>
    </row>
    <row r="225" spans="1:13" x14ac:dyDescent="0.2">
      <c r="A225" s="225"/>
      <c r="B225" s="226" t="s">
        <v>14</v>
      </c>
      <c r="C225" s="96" t="s">
        <v>9</v>
      </c>
      <c r="D225" s="184">
        <f>D222*20</f>
        <v>4.5112800000000002</v>
      </c>
      <c r="E225" s="185"/>
      <c r="F225" s="91"/>
      <c r="G225" s="92">
        <f t="shared" si="32"/>
        <v>0</v>
      </c>
      <c r="I225" s="33">
        <f>SUM(I223:I224)</f>
        <v>225.56400000000002</v>
      </c>
    </row>
    <row r="226" spans="1:13" x14ac:dyDescent="0.2">
      <c r="A226" s="245" t="s">
        <v>192</v>
      </c>
      <c r="B226" s="246" t="s">
        <v>426</v>
      </c>
      <c r="C226" s="247" t="s">
        <v>142</v>
      </c>
      <c r="D226" s="248">
        <f>I228/1000</f>
        <v>0.34798800000000002</v>
      </c>
      <c r="E226" s="249"/>
      <c r="F226" s="91"/>
      <c r="G226" s="92">
        <f t="shared" si="32"/>
        <v>0</v>
      </c>
      <c r="H226" s="41"/>
      <c r="I226" s="36"/>
    </row>
    <row r="227" spans="1:13" x14ac:dyDescent="0.2">
      <c r="A227" s="250" t="s">
        <v>188</v>
      </c>
      <c r="B227" s="226" t="s">
        <v>246</v>
      </c>
      <c r="C227" s="252" t="s">
        <v>8</v>
      </c>
      <c r="D227" s="253">
        <v>94</v>
      </c>
      <c r="E227" s="73"/>
      <c r="F227" s="74"/>
      <c r="G227" s="92">
        <f t="shared" si="32"/>
        <v>0</v>
      </c>
      <c r="H227" s="41"/>
      <c r="I227" s="33">
        <f>0.617*D227*6</f>
        <v>347.988</v>
      </c>
      <c r="J227" s="22">
        <f>5.925*3.4</f>
        <v>20.145</v>
      </c>
      <c r="K227" s="22">
        <f>J227*14*2</f>
        <v>564.05999999999995</v>
      </c>
      <c r="L227" s="22">
        <f>K227/6</f>
        <v>94.009999999999991</v>
      </c>
    </row>
    <row r="228" spans="1:13" x14ac:dyDescent="0.2">
      <c r="A228" s="250"/>
      <c r="B228" s="251" t="s">
        <v>14</v>
      </c>
      <c r="C228" s="252" t="s">
        <v>9</v>
      </c>
      <c r="D228" s="253">
        <f>D226*20</f>
        <v>6.9597600000000002</v>
      </c>
      <c r="E228" s="73"/>
      <c r="F228" s="74"/>
      <c r="G228" s="92">
        <f t="shared" si="32"/>
        <v>0</v>
      </c>
      <c r="H228" s="41"/>
      <c r="I228" s="33">
        <f>SUM(I226:I227)</f>
        <v>347.988</v>
      </c>
    </row>
    <row r="229" spans="1:13" x14ac:dyDescent="0.2">
      <c r="A229" s="250"/>
      <c r="B229" s="251"/>
      <c r="C229" s="252"/>
      <c r="D229" s="253"/>
      <c r="E229" s="73"/>
      <c r="F229" s="74"/>
      <c r="G229" s="92"/>
      <c r="H229" s="41"/>
      <c r="I229" s="33"/>
    </row>
    <row r="230" spans="1:13" x14ac:dyDescent="0.2">
      <c r="A230" s="250"/>
      <c r="B230" s="251"/>
      <c r="C230" s="252"/>
      <c r="D230" s="253"/>
      <c r="E230" s="73"/>
      <c r="F230" s="74"/>
      <c r="G230" s="92"/>
      <c r="H230" s="41"/>
      <c r="I230" s="33"/>
    </row>
    <row r="231" spans="1:13" x14ac:dyDescent="0.2">
      <c r="A231" s="250"/>
      <c r="B231" s="251"/>
      <c r="C231" s="252"/>
      <c r="D231" s="253"/>
      <c r="E231" s="73"/>
      <c r="F231" s="74"/>
      <c r="G231" s="92"/>
      <c r="H231" s="41"/>
      <c r="I231" s="33"/>
    </row>
    <row r="232" spans="1:13" ht="12.75" thickBot="1" x14ac:dyDescent="0.25">
      <c r="A232" s="374"/>
      <c r="B232" s="375"/>
      <c r="C232" s="376"/>
      <c r="D232" s="377"/>
      <c r="E232" s="378"/>
      <c r="F232" s="379"/>
      <c r="G232" s="372"/>
      <c r="H232" s="41"/>
      <c r="I232" s="33"/>
    </row>
    <row r="233" spans="1:13" x14ac:dyDescent="0.2">
      <c r="A233" s="380"/>
      <c r="B233" s="381"/>
      <c r="C233" s="382"/>
      <c r="D233" s="383"/>
      <c r="E233" s="384"/>
      <c r="F233" s="385"/>
      <c r="G233" s="386"/>
      <c r="I233" s="33"/>
    </row>
    <row r="234" spans="1:13" x14ac:dyDescent="0.2">
      <c r="A234" s="218" t="s">
        <v>144</v>
      </c>
      <c r="B234" s="219" t="s">
        <v>69</v>
      </c>
      <c r="C234" s="239"/>
      <c r="D234" s="240"/>
      <c r="E234" s="241"/>
      <c r="F234" s="242"/>
      <c r="G234" s="243">
        <f t="shared" ref="G234" si="33">(D234*E234)+(D234*F234)</f>
        <v>0</v>
      </c>
    </row>
    <row r="235" spans="1:13" x14ac:dyDescent="0.2">
      <c r="A235" s="245" t="s">
        <v>176</v>
      </c>
      <c r="B235" s="246" t="s">
        <v>318</v>
      </c>
      <c r="C235" s="247"/>
      <c r="D235" s="248"/>
      <c r="E235" s="249"/>
      <c r="F235" s="91"/>
      <c r="G235" s="92"/>
    </row>
    <row r="236" spans="1:13" x14ac:dyDescent="0.2">
      <c r="A236" s="225" t="s">
        <v>198</v>
      </c>
      <c r="B236" s="226" t="s">
        <v>304</v>
      </c>
      <c r="C236" s="96" t="s">
        <v>142</v>
      </c>
      <c r="D236" s="184">
        <f>I239/1000</f>
        <v>0.38343600000000005</v>
      </c>
      <c r="E236" s="185"/>
      <c r="F236" s="91"/>
      <c r="G236" s="92">
        <f t="shared" ref="G236:G263" si="34">(D236*E236)+(D236*F236)</f>
        <v>0</v>
      </c>
    </row>
    <row r="237" spans="1:13" x14ac:dyDescent="0.2">
      <c r="A237" s="227"/>
      <c r="B237" s="226" t="s">
        <v>244</v>
      </c>
      <c r="C237" s="96" t="s">
        <v>8</v>
      </c>
      <c r="D237" s="184">
        <v>33</v>
      </c>
      <c r="E237" s="185"/>
      <c r="F237" s="91"/>
      <c r="G237" s="92">
        <f t="shared" si="34"/>
        <v>0</v>
      </c>
      <c r="I237" s="33">
        <f>D237*1.58*6</f>
        <v>312.84000000000003</v>
      </c>
      <c r="J237" s="22">
        <f>16.2+19.4+2*2</f>
        <v>39.599999999999994</v>
      </c>
      <c r="L237" s="22">
        <f>J237/0.15</f>
        <v>264</v>
      </c>
      <c r="M237" s="22">
        <f>L237/5</f>
        <v>52.8</v>
      </c>
    </row>
    <row r="238" spans="1:13" x14ac:dyDescent="0.2">
      <c r="A238" s="225"/>
      <c r="B238" s="226" t="s">
        <v>247</v>
      </c>
      <c r="C238" s="96" t="s">
        <v>8</v>
      </c>
      <c r="D238" s="184">
        <v>53</v>
      </c>
      <c r="E238" s="185"/>
      <c r="F238" s="91"/>
      <c r="G238" s="92">
        <f t="shared" si="34"/>
        <v>0</v>
      </c>
      <c r="I238" s="33">
        <f>0.222*D238*6</f>
        <v>70.596000000000004</v>
      </c>
    </row>
    <row r="239" spans="1:13" x14ac:dyDescent="0.2">
      <c r="A239" s="225"/>
      <c r="B239" s="226" t="s">
        <v>14</v>
      </c>
      <c r="C239" s="96" t="s">
        <v>9</v>
      </c>
      <c r="D239" s="184">
        <f>D236*20</f>
        <v>7.6687200000000013</v>
      </c>
      <c r="E239" s="185"/>
      <c r="F239" s="91"/>
      <c r="G239" s="92">
        <f t="shared" si="34"/>
        <v>0</v>
      </c>
      <c r="I239" s="33">
        <f>SUM(I237:I238)</f>
        <v>383.43600000000004</v>
      </c>
      <c r="J239" s="33"/>
    </row>
    <row r="240" spans="1:13" x14ac:dyDescent="0.2">
      <c r="A240" s="225" t="s">
        <v>199</v>
      </c>
      <c r="B240" s="226" t="s">
        <v>319</v>
      </c>
      <c r="C240" s="96" t="s">
        <v>142</v>
      </c>
      <c r="D240" s="184">
        <f>I243/1000</f>
        <v>0.129744</v>
      </c>
      <c r="E240" s="185"/>
      <c r="F240" s="91"/>
      <c r="G240" s="92">
        <f t="shared" ref="G240:G247" si="35">(D240*E240)+(D240*F240)</f>
        <v>0</v>
      </c>
      <c r="I240" s="33"/>
      <c r="J240" s="33"/>
    </row>
    <row r="241" spans="1:15" x14ac:dyDescent="0.2">
      <c r="A241" s="225"/>
      <c r="B241" s="226" t="s">
        <v>244</v>
      </c>
      <c r="C241" s="96" t="s">
        <v>8</v>
      </c>
      <c r="D241" s="184">
        <v>12</v>
      </c>
      <c r="E241" s="185"/>
      <c r="F241" s="91"/>
      <c r="G241" s="92">
        <f t="shared" si="35"/>
        <v>0</v>
      </c>
      <c r="I241" s="33">
        <f>D241*1.58*6</f>
        <v>113.76</v>
      </c>
      <c r="J241" s="22">
        <f>8.7</f>
        <v>8.6999999999999993</v>
      </c>
      <c r="K241" s="22">
        <f>J241/0.15</f>
        <v>58</v>
      </c>
      <c r="L241" s="22">
        <f>K241/5</f>
        <v>11.6</v>
      </c>
    </row>
    <row r="242" spans="1:15" x14ac:dyDescent="0.2">
      <c r="A242" s="225"/>
      <c r="B242" s="226" t="s">
        <v>247</v>
      </c>
      <c r="C242" s="96" t="s">
        <v>8</v>
      </c>
      <c r="D242" s="184">
        <v>12</v>
      </c>
      <c r="E242" s="185"/>
      <c r="F242" s="91"/>
      <c r="G242" s="92">
        <f t="shared" si="35"/>
        <v>0</v>
      </c>
      <c r="I242" s="33">
        <f>0.222*D242*6</f>
        <v>15.984000000000002</v>
      </c>
    </row>
    <row r="243" spans="1:15" x14ac:dyDescent="0.2">
      <c r="A243" s="225"/>
      <c r="B243" s="226" t="s">
        <v>14</v>
      </c>
      <c r="C243" s="96" t="s">
        <v>9</v>
      </c>
      <c r="D243" s="184">
        <f>D240*20</f>
        <v>2.5948799999999999</v>
      </c>
      <c r="E243" s="185"/>
      <c r="F243" s="91"/>
      <c r="G243" s="92">
        <f t="shared" si="35"/>
        <v>0</v>
      </c>
      <c r="I243" s="33">
        <f>SUM(I241:I242)</f>
        <v>129.744</v>
      </c>
      <c r="J243" s="33"/>
    </row>
    <row r="244" spans="1:15" x14ac:dyDescent="0.2">
      <c r="A244" s="225" t="s">
        <v>201</v>
      </c>
      <c r="B244" s="226" t="s">
        <v>320</v>
      </c>
      <c r="C244" s="96" t="s">
        <v>142</v>
      </c>
      <c r="D244" s="184">
        <f>I247/1000</f>
        <v>0.62654399999999999</v>
      </c>
      <c r="E244" s="185"/>
      <c r="F244" s="91"/>
      <c r="G244" s="92">
        <f t="shared" si="35"/>
        <v>0</v>
      </c>
      <c r="I244" s="33"/>
      <c r="J244" s="33"/>
    </row>
    <row r="245" spans="1:15" x14ac:dyDescent="0.2">
      <c r="A245" s="225"/>
      <c r="B245" s="226" t="s">
        <v>326</v>
      </c>
      <c r="C245" s="96" t="s">
        <v>8</v>
      </c>
      <c r="D245" s="184">
        <v>36</v>
      </c>
      <c r="E245" s="185"/>
      <c r="F245" s="91"/>
      <c r="G245" s="92">
        <f t="shared" si="35"/>
        <v>0</v>
      </c>
      <c r="I245" s="33">
        <f>D245*2.469*6</f>
        <v>533.30399999999997</v>
      </c>
      <c r="J245" s="22">
        <f>8.7*3</f>
        <v>26.099999999999998</v>
      </c>
      <c r="K245" s="22">
        <f>(J245/0.15)*2</f>
        <v>348</v>
      </c>
      <c r="L245" s="22">
        <f>K245/5</f>
        <v>69.599999999999994</v>
      </c>
      <c r="N245" s="54">
        <f>D245/4</f>
        <v>9</v>
      </c>
      <c r="O245" s="54">
        <f>N245*3</f>
        <v>27</v>
      </c>
    </row>
    <row r="246" spans="1:15" x14ac:dyDescent="0.2">
      <c r="A246" s="225"/>
      <c r="B246" s="226" t="s">
        <v>247</v>
      </c>
      <c r="C246" s="96" t="s">
        <v>8</v>
      </c>
      <c r="D246" s="184">
        <v>70</v>
      </c>
      <c r="E246" s="185"/>
      <c r="F246" s="91"/>
      <c r="G246" s="92">
        <f t="shared" si="35"/>
        <v>0</v>
      </c>
      <c r="I246" s="33">
        <f>0.222*D246*6</f>
        <v>93.240000000000009</v>
      </c>
      <c r="J246" s="33"/>
    </row>
    <row r="247" spans="1:15" x14ac:dyDescent="0.2">
      <c r="A247" s="225"/>
      <c r="B247" s="226" t="s">
        <v>14</v>
      </c>
      <c r="C247" s="96" t="s">
        <v>9</v>
      </c>
      <c r="D247" s="184">
        <f>D244*20</f>
        <v>12.53088</v>
      </c>
      <c r="E247" s="185"/>
      <c r="F247" s="91"/>
      <c r="G247" s="92">
        <f t="shared" si="35"/>
        <v>0</v>
      </c>
      <c r="I247" s="33">
        <f>SUM(I245:I246)</f>
        <v>626.54399999999998</v>
      </c>
      <c r="J247" s="33"/>
    </row>
    <row r="248" spans="1:15" x14ac:dyDescent="0.2">
      <c r="A248" s="225" t="s">
        <v>200</v>
      </c>
      <c r="B248" s="226" t="s">
        <v>323</v>
      </c>
      <c r="C248" s="96" t="s">
        <v>142</v>
      </c>
      <c r="D248" s="184">
        <f>I251/1000</f>
        <v>0.20362799999999998</v>
      </c>
      <c r="E248" s="185"/>
      <c r="F248" s="91"/>
      <c r="G248" s="92">
        <f t="shared" ref="G248:G260" si="36">(D248*E248)+(D248*F248)</f>
        <v>0</v>
      </c>
      <c r="I248" s="33"/>
      <c r="J248" s="33"/>
    </row>
    <row r="249" spans="1:15" x14ac:dyDescent="0.2">
      <c r="A249" s="225"/>
      <c r="B249" s="226" t="s">
        <v>244</v>
      </c>
      <c r="C249" s="96" t="s">
        <v>8</v>
      </c>
      <c r="D249" s="184">
        <v>16</v>
      </c>
      <c r="E249" s="185"/>
      <c r="F249" s="91"/>
      <c r="G249" s="92">
        <f t="shared" ref="G249" si="37">(D249*E249)+(D249*F249)</f>
        <v>0</v>
      </c>
      <c r="I249" s="33">
        <f>D249*1.58*6</f>
        <v>151.68</v>
      </c>
      <c r="J249" s="33">
        <v>19.399999999999999</v>
      </c>
      <c r="K249" s="22">
        <f>19.4/0.1</f>
        <v>193.99999999999997</v>
      </c>
      <c r="L249" s="22">
        <f>K249/5</f>
        <v>38.799999999999997</v>
      </c>
    </row>
    <row r="250" spans="1:15" x14ac:dyDescent="0.2">
      <c r="A250" s="225"/>
      <c r="B250" s="226" t="s">
        <v>247</v>
      </c>
      <c r="C250" s="96" t="s">
        <v>8</v>
      </c>
      <c r="D250" s="184">
        <v>39</v>
      </c>
      <c r="E250" s="185"/>
      <c r="F250" s="91"/>
      <c r="G250" s="92">
        <f t="shared" si="36"/>
        <v>0</v>
      </c>
      <c r="I250" s="33">
        <f>0.222*D250*6</f>
        <v>51.947999999999993</v>
      </c>
      <c r="J250" s="33"/>
    </row>
    <row r="251" spans="1:15" x14ac:dyDescent="0.2">
      <c r="A251" s="225"/>
      <c r="B251" s="226" t="s">
        <v>14</v>
      </c>
      <c r="C251" s="96" t="s">
        <v>9</v>
      </c>
      <c r="D251" s="184">
        <f>D248*20</f>
        <v>4.0725599999999993</v>
      </c>
      <c r="E251" s="185"/>
      <c r="F251" s="91"/>
      <c r="G251" s="92">
        <f t="shared" si="36"/>
        <v>0</v>
      </c>
      <c r="I251" s="33">
        <f>SUM(I249:I250)</f>
        <v>203.62799999999999</v>
      </c>
      <c r="J251" s="33"/>
    </row>
    <row r="252" spans="1:15" x14ac:dyDescent="0.2">
      <c r="A252" s="225" t="s">
        <v>321</v>
      </c>
      <c r="B252" s="226" t="s">
        <v>324</v>
      </c>
      <c r="C252" s="96" t="s">
        <v>142</v>
      </c>
      <c r="D252" s="184">
        <f>I255/1000</f>
        <v>5.2433999999999995E-2</v>
      </c>
      <c r="E252" s="185"/>
      <c r="F252" s="91"/>
      <c r="G252" s="92">
        <f t="shared" si="36"/>
        <v>0</v>
      </c>
      <c r="I252" s="33"/>
      <c r="J252" s="33"/>
    </row>
    <row r="253" spans="1:15" x14ac:dyDescent="0.2">
      <c r="A253" s="225"/>
      <c r="B253" s="226" t="s">
        <v>326</v>
      </c>
      <c r="C253" s="96" t="s">
        <v>8</v>
      </c>
      <c r="D253" s="184">
        <v>3</v>
      </c>
      <c r="E253" s="185"/>
      <c r="F253" s="91"/>
      <c r="G253" s="92">
        <f t="shared" si="36"/>
        <v>0</v>
      </c>
      <c r="I253" s="33">
        <f>D253*2.469*6</f>
        <v>44.442</v>
      </c>
      <c r="J253" s="33">
        <v>3.4</v>
      </c>
      <c r="K253" s="22">
        <f>(J253/0.15)</f>
        <v>22.666666666666668</v>
      </c>
      <c r="L253" s="22">
        <f>K253/4</f>
        <v>5.666666666666667</v>
      </c>
    </row>
    <row r="254" spans="1:15" x14ac:dyDescent="0.2">
      <c r="A254" s="225"/>
      <c r="B254" s="226" t="s">
        <v>247</v>
      </c>
      <c r="C254" s="96" t="s">
        <v>8</v>
      </c>
      <c r="D254" s="184">
        <v>6</v>
      </c>
      <c r="E254" s="185"/>
      <c r="F254" s="91"/>
      <c r="G254" s="92">
        <f t="shared" si="36"/>
        <v>0</v>
      </c>
      <c r="I254" s="33">
        <f>0.222*D254*6</f>
        <v>7.9920000000000009</v>
      </c>
      <c r="J254" s="33"/>
    </row>
    <row r="255" spans="1:15" x14ac:dyDescent="0.2">
      <c r="A255" s="225"/>
      <c r="B255" s="226" t="s">
        <v>14</v>
      </c>
      <c r="C255" s="96" t="s">
        <v>9</v>
      </c>
      <c r="D255" s="184">
        <f>D252*20</f>
        <v>1.0486799999999998</v>
      </c>
      <c r="E255" s="185"/>
      <c r="F255" s="91"/>
      <c r="G255" s="92">
        <f t="shared" si="36"/>
        <v>0</v>
      </c>
      <c r="I255" s="33">
        <f>SUM(I253:I254)</f>
        <v>52.433999999999997</v>
      </c>
      <c r="J255" s="33"/>
    </row>
    <row r="256" spans="1:15" x14ac:dyDescent="0.2">
      <c r="A256" s="225" t="s">
        <v>322</v>
      </c>
      <c r="B256" s="226" t="s">
        <v>325</v>
      </c>
      <c r="C256" s="96" t="s">
        <v>142</v>
      </c>
      <c r="D256" s="184">
        <f>I260/1000</f>
        <v>0.34261199999999997</v>
      </c>
      <c r="E256" s="185"/>
      <c r="F256" s="91"/>
      <c r="G256" s="92">
        <f t="shared" si="36"/>
        <v>0</v>
      </c>
      <c r="I256" s="33"/>
      <c r="J256" s="33"/>
    </row>
    <row r="257" spans="1:15" x14ac:dyDescent="0.2">
      <c r="A257" s="225"/>
      <c r="B257" s="226" t="s">
        <v>326</v>
      </c>
      <c r="C257" s="96" t="s">
        <v>8</v>
      </c>
      <c r="D257" s="184">
        <v>14</v>
      </c>
      <c r="E257" s="185"/>
      <c r="F257" s="91"/>
      <c r="G257" s="92">
        <f t="shared" ref="G257:G258" si="38">(D257*E257)+(D257*F257)</f>
        <v>0</v>
      </c>
      <c r="I257" s="33">
        <f t="shared" ref="I257" si="39">D257*2.469*6</f>
        <v>207.39599999999996</v>
      </c>
      <c r="J257" s="33">
        <v>12.8</v>
      </c>
      <c r="K257" s="22">
        <f>(J257/0.1)</f>
        <v>128</v>
      </c>
      <c r="L257" s="22">
        <f>K257/4</f>
        <v>32</v>
      </c>
    </row>
    <row r="258" spans="1:15" x14ac:dyDescent="0.2">
      <c r="A258" s="225"/>
      <c r="B258" s="226" t="s">
        <v>327</v>
      </c>
      <c r="C258" s="96" t="s">
        <v>8</v>
      </c>
      <c r="D258" s="184">
        <v>4</v>
      </c>
      <c r="E258" s="185"/>
      <c r="F258" s="91"/>
      <c r="G258" s="92">
        <f t="shared" si="38"/>
        <v>0</v>
      </c>
      <c r="I258" s="33">
        <f>D258*3.858*6</f>
        <v>92.591999999999999</v>
      </c>
      <c r="J258" s="33"/>
    </row>
    <row r="259" spans="1:15" x14ac:dyDescent="0.2">
      <c r="A259" s="225"/>
      <c r="B259" s="226" t="s">
        <v>247</v>
      </c>
      <c r="C259" s="96" t="s">
        <v>8</v>
      </c>
      <c r="D259" s="184">
        <v>32</v>
      </c>
      <c r="E259" s="185"/>
      <c r="F259" s="91"/>
      <c r="G259" s="92">
        <f t="shared" si="36"/>
        <v>0</v>
      </c>
      <c r="I259" s="33">
        <f>0.222*D259*6</f>
        <v>42.624000000000002</v>
      </c>
      <c r="J259" s="33"/>
    </row>
    <row r="260" spans="1:15" x14ac:dyDescent="0.2">
      <c r="A260" s="225"/>
      <c r="B260" s="226" t="s">
        <v>14</v>
      </c>
      <c r="C260" s="96" t="s">
        <v>9</v>
      </c>
      <c r="D260" s="184">
        <f>D256*20</f>
        <v>6.8522399999999992</v>
      </c>
      <c r="E260" s="185"/>
      <c r="F260" s="91"/>
      <c r="G260" s="92">
        <f t="shared" si="36"/>
        <v>0</v>
      </c>
      <c r="I260" s="33">
        <f>SUM(I257:I259)</f>
        <v>342.61199999999997</v>
      </c>
      <c r="J260" s="33"/>
    </row>
    <row r="261" spans="1:15" x14ac:dyDescent="0.2">
      <c r="A261" s="245" t="s">
        <v>177</v>
      </c>
      <c r="B261" s="246" t="s">
        <v>303</v>
      </c>
      <c r="C261" s="252" t="s">
        <v>142</v>
      </c>
      <c r="D261" s="253">
        <f>I263/1000</f>
        <v>2.7394799999999999</v>
      </c>
      <c r="E261" s="73"/>
      <c r="F261" s="91"/>
      <c r="G261" s="92">
        <f t="shared" si="34"/>
        <v>0</v>
      </c>
      <c r="H261" s="41"/>
      <c r="I261" s="36"/>
      <c r="K261" s="22">
        <f>K172</f>
        <v>180.38</v>
      </c>
      <c r="L261" s="22">
        <f>K261*14</f>
        <v>2525.3199999999997</v>
      </c>
      <c r="M261" s="22">
        <f>L261*75%</f>
        <v>1893.9899999999998</v>
      </c>
      <c r="N261" s="22">
        <f>L261+M261</f>
        <v>4419.3099999999995</v>
      </c>
      <c r="O261" s="22">
        <f>N261/6</f>
        <v>736.55166666666662</v>
      </c>
    </row>
    <row r="262" spans="1:15" x14ac:dyDescent="0.2">
      <c r="A262" s="250" t="s">
        <v>188</v>
      </c>
      <c r="B262" s="226" t="s">
        <v>246</v>
      </c>
      <c r="C262" s="252" t="s">
        <v>8</v>
      </c>
      <c r="D262" s="253">
        <v>740</v>
      </c>
      <c r="E262" s="73"/>
      <c r="F262" s="74"/>
      <c r="G262" s="92">
        <f t="shared" si="34"/>
        <v>0</v>
      </c>
      <c r="H262" s="41"/>
      <c r="I262" s="33">
        <f>0.617*D262*6</f>
        <v>2739.48</v>
      </c>
    </row>
    <row r="263" spans="1:15" x14ac:dyDescent="0.2">
      <c r="A263" s="250"/>
      <c r="B263" s="251" t="s">
        <v>14</v>
      </c>
      <c r="C263" s="252" t="s">
        <v>9</v>
      </c>
      <c r="D263" s="253">
        <f>D261*15</f>
        <v>41.092199999999998</v>
      </c>
      <c r="E263" s="73"/>
      <c r="F263" s="74"/>
      <c r="G263" s="92">
        <f t="shared" si="34"/>
        <v>0</v>
      </c>
      <c r="H263" s="41"/>
      <c r="I263" s="33">
        <f>SUM(I261:I262)</f>
        <v>2739.48</v>
      </c>
    </row>
    <row r="264" spans="1:15" x14ac:dyDescent="0.2">
      <c r="A264" s="245" t="s">
        <v>190</v>
      </c>
      <c r="B264" s="246" t="s">
        <v>185</v>
      </c>
      <c r="C264" s="247"/>
      <c r="D264" s="248"/>
      <c r="E264" s="249"/>
      <c r="F264" s="91"/>
      <c r="G264" s="92"/>
    </row>
    <row r="265" spans="1:15" x14ac:dyDescent="0.2">
      <c r="A265" s="225" t="s">
        <v>198</v>
      </c>
      <c r="B265" s="226" t="s">
        <v>452</v>
      </c>
      <c r="C265" s="96" t="s">
        <v>142</v>
      </c>
      <c r="D265" s="184">
        <f>I268/1000</f>
        <v>0.71805600000000014</v>
      </c>
      <c r="E265" s="185"/>
      <c r="F265" s="91"/>
      <c r="G265" s="92">
        <f t="shared" ref="G265:G276" si="40">(D265*E265)+(D265*F265)</f>
        <v>0</v>
      </c>
    </row>
    <row r="266" spans="1:15" x14ac:dyDescent="0.2">
      <c r="A266" s="227"/>
      <c r="B266" s="226" t="s">
        <v>244</v>
      </c>
      <c r="C266" s="96" t="s">
        <v>8</v>
      </c>
      <c r="D266" s="184">
        <v>69</v>
      </c>
      <c r="E266" s="185"/>
      <c r="F266" s="91"/>
      <c r="G266" s="92">
        <f t="shared" si="40"/>
        <v>0</v>
      </c>
      <c r="I266" s="33">
        <f>D266*1.58*6</f>
        <v>654.12000000000012</v>
      </c>
      <c r="J266" s="22">
        <f>1.5*2*23</f>
        <v>69</v>
      </c>
      <c r="L266" s="22">
        <f>3.5/0.15</f>
        <v>23.333333333333336</v>
      </c>
      <c r="M266" s="22">
        <f>23*23</f>
        <v>529</v>
      </c>
      <c r="N266" s="22">
        <f>M266/11</f>
        <v>48.090909090909093</v>
      </c>
    </row>
    <row r="267" spans="1:15" x14ac:dyDescent="0.2">
      <c r="A267" s="225"/>
      <c r="B267" s="226" t="s">
        <v>247</v>
      </c>
      <c r="C267" s="96" t="s">
        <v>8</v>
      </c>
      <c r="D267" s="184">
        <v>48</v>
      </c>
      <c r="E267" s="185"/>
      <c r="F267" s="91"/>
      <c r="G267" s="92">
        <f t="shared" si="40"/>
        <v>0</v>
      </c>
      <c r="I267" s="33">
        <f>0.222*D267*6</f>
        <v>63.936000000000007</v>
      </c>
    </row>
    <row r="268" spans="1:15" x14ac:dyDescent="0.2">
      <c r="A268" s="225"/>
      <c r="B268" s="226" t="s">
        <v>14</v>
      </c>
      <c r="C268" s="96" t="s">
        <v>9</v>
      </c>
      <c r="D268" s="184">
        <f>D265*20</f>
        <v>14.361120000000003</v>
      </c>
      <c r="E268" s="185"/>
      <c r="F268" s="91"/>
      <c r="G268" s="92">
        <f t="shared" si="40"/>
        <v>0</v>
      </c>
      <c r="I268" s="33">
        <f>SUM(I266:I267)</f>
        <v>718.05600000000015</v>
      </c>
      <c r="J268" s="33"/>
    </row>
    <row r="269" spans="1:15" x14ac:dyDescent="0.2">
      <c r="A269" s="225" t="s">
        <v>199</v>
      </c>
      <c r="B269" s="226" t="s">
        <v>456</v>
      </c>
      <c r="C269" s="96" t="s">
        <v>142</v>
      </c>
      <c r="D269" s="184">
        <f>I272/1000</f>
        <v>0.19861200000000001</v>
      </c>
      <c r="E269" s="185"/>
      <c r="F269" s="91"/>
      <c r="G269" s="92">
        <f t="shared" si="40"/>
        <v>0</v>
      </c>
      <c r="I269" s="33"/>
      <c r="J269" s="33"/>
    </row>
    <row r="270" spans="1:15" x14ac:dyDescent="0.2">
      <c r="A270" s="225"/>
      <c r="B270" s="226" t="s">
        <v>244</v>
      </c>
      <c r="C270" s="96" t="s">
        <v>8</v>
      </c>
      <c r="D270" s="184">
        <v>18</v>
      </c>
      <c r="E270" s="185"/>
      <c r="F270" s="91"/>
      <c r="G270" s="92">
        <f t="shared" si="40"/>
        <v>0</v>
      </c>
      <c r="I270" s="33">
        <f>D270*1.58*6</f>
        <v>170.64000000000001</v>
      </c>
      <c r="J270" s="22">
        <f>1.5*4*3</f>
        <v>18</v>
      </c>
      <c r="K270" s="22">
        <f>24*3</f>
        <v>72</v>
      </c>
      <c r="L270" s="22">
        <f>K270/8</f>
        <v>9</v>
      </c>
      <c r="M270" s="22">
        <f>K270/6</f>
        <v>12</v>
      </c>
      <c r="N270" s="22">
        <f>SUM(L270:M270)</f>
        <v>21</v>
      </c>
    </row>
    <row r="271" spans="1:15" x14ac:dyDescent="0.2">
      <c r="A271" s="225"/>
      <c r="B271" s="226" t="s">
        <v>247</v>
      </c>
      <c r="C271" s="96" t="s">
        <v>8</v>
      </c>
      <c r="D271" s="184">
        <v>21</v>
      </c>
      <c r="E271" s="185"/>
      <c r="F271" s="91"/>
      <c r="G271" s="92">
        <f t="shared" si="40"/>
        <v>0</v>
      </c>
      <c r="I271" s="33">
        <f>0.222*D271*6</f>
        <v>27.972000000000001</v>
      </c>
    </row>
    <row r="272" spans="1:15" x14ac:dyDescent="0.2">
      <c r="A272" s="225"/>
      <c r="B272" s="226" t="s">
        <v>14</v>
      </c>
      <c r="C272" s="96" t="s">
        <v>9</v>
      </c>
      <c r="D272" s="184">
        <f>D269*20</f>
        <v>3.9722400000000002</v>
      </c>
      <c r="E272" s="185"/>
      <c r="F272" s="91"/>
      <c r="G272" s="92">
        <f t="shared" si="40"/>
        <v>0</v>
      </c>
      <c r="I272" s="33">
        <f>SUM(I270:I271)</f>
        <v>198.61200000000002</v>
      </c>
      <c r="J272" s="33"/>
    </row>
    <row r="273" spans="1:13" x14ac:dyDescent="0.2">
      <c r="A273" s="225" t="s">
        <v>201</v>
      </c>
      <c r="B273" s="226" t="s">
        <v>455</v>
      </c>
      <c r="C273" s="96" t="s">
        <v>142</v>
      </c>
      <c r="D273" s="184">
        <f>I276/1000</f>
        <v>2.8871999999999998E-2</v>
      </c>
      <c r="E273" s="185"/>
      <c r="F273" s="91"/>
      <c r="G273" s="92">
        <f t="shared" si="40"/>
        <v>0</v>
      </c>
      <c r="I273" s="33"/>
      <c r="J273" s="33"/>
    </row>
    <row r="274" spans="1:13" x14ac:dyDescent="0.2">
      <c r="A274" s="225"/>
      <c r="B274" s="226" t="s">
        <v>246</v>
      </c>
      <c r="C274" s="96" t="s">
        <v>8</v>
      </c>
      <c r="D274" s="184">
        <v>6</v>
      </c>
      <c r="E274" s="185"/>
      <c r="F274" s="91"/>
      <c r="G274" s="92">
        <f t="shared" si="40"/>
        <v>0</v>
      </c>
      <c r="I274" s="33">
        <f>D274*0.617*6</f>
        <v>22.212</v>
      </c>
      <c r="J274" s="33">
        <f>1.5*4</f>
        <v>6</v>
      </c>
    </row>
    <row r="275" spans="1:13" x14ac:dyDescent="0.2">
      <c r="A275" s="225"/>
      <c r="B275" s="226" t="s">
        <v>247</v>
      </c>
      <c r="C275" s="96" t="s">
        <v>8</v>
      </c>
      <c r="D275" s="184">
        <v>5</v>
      </c>
      <c r="E275" s="185"/>
      <c r="F275" s="91"/>
      <c r="G275" s="92">
        <f t="shared" si="40"/>
        <v>0</v>
      </c>
      <c r="I275" s="33">
        <f>0.222*D275*6</f>
        <v>6.66</v>
      </c>
      <c r="J275" s="33"/>
    </row>
    <row r="276" spans="1:13" x14ac:dyDescent="0.2">
      <c r="A276" s="225"/>
      <c r="B276" s="226" t="s">
        <v>14</v>
      </c>
      <c r="C276" s="96" t="s">
        <v>9</v>
      </c>
      <c r="D276" s="184">
        <f>D273*20</f>
        <v>0.57743999999999995</v>
      </c>
      <c r="E276" s="185"/>
      <c r="F276" s="91"/>
      <c r="G276" s="92">
        <f t="shared" si="40"/>
        <v>0</v>
      </c>
      <c r="I276" s="33">
        <f>SUM(I274:I275)</f>
        <v>28.872</v>
      </c>
      <c r="J276" s="33"/>
    </row>
    <row r="277" spans="1:13" x14ac:dyDescent="0.2">
      <c r="A277" s="250"/>
      <c r="B277" s="251"/>
      <c r="C277" s="252"/>
      <c r="D277" s="253"/>
      <c r="E277" s="73"/>
      <c r="F277" s="74"/>
      <c r="G277" s="92"/>
      <c r="H277" s="41"/>
      <c r="I277" s="33"/>
    </row>
    <row r="278" spans="1:13" x14ac:dyDescent="0.2">
      <c r="A278" s="218" t="s">
        <v>328</v>
      </c>
      <c r="B278" s="219" t="s">
        <v>295</v>
      </c>
      <c r="C278" s="239"/>
      <c r="D278" s="240"/>
      <c r="E278" s="241"/>
      <c r="F278" s="242"/>
      <c r="G278" s="243">
        <f t="shared" ref="G278" si="41">(D278*E278)+(D278*F278)</f>
        <v>0</v>
      </c>
    </row>
    <row r="279" spans="1:13" x14ac:dyDescent="0.2">
      <c r="A279" s="245" t="s">
        <v>176</v>
      </c>
      <c r="B279" s="246" t="s">
        <v>295</v>
      </c>
      <c r="C279" s="247"/>
      <c r="D279" s="248"/>
      <c r="E279" s="249"/>
      <c r="F279" s="91"/>
      <c r="G279" s="92"/>
    </row>
    <row r="280" spans="1:13" x14ac:dyDescent="0.2">
      <c r="A280" s="225" t="s">
        <v>198</v>
      </c>
      <c r="B280" s="226" t="s">
        <v>329</v>
      </c>
      <c r="C280" s="96" t="s">
        <v>142</v>
      </c>
      <c r="D280" s="184">
        <f>I283/1000</f>
        <v>0.21357600000000002</v>
      </c>
      <c r="E280" s="185"/>
      <c r="F280" s="91"/>
      <c r="G280" s="92">
        <f t="shared" ref="G280:G288" si="42">(D280*E280)+(D280*F280)</f>
        <v>0</v>
      </c>
    </row>
    <row r="281" spans="1:13" x14ac:dyDescent="0.2">
      <c r="A281" s="227"/>
      <c r="B281" s="226" t="s">
        <v>244</v>
      </c>
      <c r="C281" s="96" t="s">
        <v>8</v>
      </c>
      <c r="D281" s="184">
        <v>20</v>
      </c>
      <c r="E281" s="185"/>
      <c r="F281" s="91"/>
      <c r="G281" s="92">
        <f t="shared" si="42"/>
        <v>0</v>
      </c>
      <c r="I281" s="33">
        <f>D281*1.58*6</f>
        <v>189.60000000000002</v>
      </c>
      <c r="J281" s="22">
        <v>13</v>
      </c>
      <c r="L281" s="22">
        <f>J281/0.15</f>
        <v>86.666666666666671</v>
      </c>
      <c r="M281" s="22">
        <f>L281/5</f>
        <v>17.333333333333336</v>
      </c>
    </row>
    <row r="282" spans="1:13" x14ac:dyDescent="0.2">
      <c r="A282" s="225"/>
      <c r="B282" s="226" t="s">
        <v>247</v>
      </c>
      <c r="C282" s="96" t="s">
        <v>8</v>
      </c>
      <c r="D282" s="184">
        <v>18</v>
      </c>
      <c r="E282" s="185"/>
      <c r="F282" s="91"/>
      <c r="G282" s="92">
        <f t="shared" si="42"/>
        <v>0</v>
      </c>
      <c r="I282" s="33">
        <f>0.222*D282*6</f>
        <v>23.975999999999999</v>
      </c>
    </row>
    <row r="283" spans="1:13" x14ac:dyDescent="0.2">
      <c r="A283" s="225"/>
      <c r="B283" s="226" t="s">
        <v>14</v>
      </c>
      <c r="C283" s="96" t="s">
        <v>9</v>
      </c>
      <c r="D283" s="184">
        <f>D280*20</f>
        <v>4.2715200000000006</v>
      </c>
      <c r="E283" s="185"/>
      <c r="F283" s="91"/>
      <c r="G283" s="92">
        <f t="shared" si="42"/>
        <v>0</v>
      </c>
      <c r="I283" s="33">
        <f>SUM(I281:I282)</f>
        <v>213.57600000000002</v>
      </c>
      <c r="J283" s="33"/>
    </row>
    <row r="284" spans="1:13" x14ac:dyDescent="0.2">
      <c r="A284" s="225" t="s">
        <v>199</v>
      </c>
      <c r="B284" s="226" t="s">
        <v>313</v>
      </c>
      <c r="C284" s="96" t="s">
        <v>142</v>
      </c>
      <c r="D284" s="184">
        <f>I287/1000</f>
        <v>6.8867999999999999E-2</v>
      </c>
      <c r="E284" s="185"/>
      <c r="F284" s="91"/>
      <c r="G284" s="92">
        <f t="shared" si="42"/>
        <v>0</v>
      </c>
      <c r="I284" s="33"/>
      <c r="J284" s="33"/>
    </row>
    <row r="285" spans="1:13" x14ac:dyDescent="0.2">
      <c r="A285" s="225"/>
      <c r="B285" s="226" t="s">
        <v>244</v>
      </c>
      <c r="C285" s="96" t="s">
        <v>8</v>
      </c>
      <c r="D285" s="184">
        <v>6</v>
      </c>
      <c r="E285" s="185"/>
      <c r="F285" s="91"/>
      <c r="G285" s="92">
        <f t="shared" si="42"/>
        <v>0</v>
      </c>
      <c r="I285" s="33">
        <f>D285*1.58*6</f>
        <v>56.88</v>
      </c>
      <c r="J285" s="22">
        <f>3.2*2</f>
        <v>6.4</v>
      </c>
      <c r="K285" s="22">
        <f>J285/0.15</f>
        <v>42.666666666666671</v>
      </c>
      <c r="L285" s="22">
        <f>K285/5</f>
        <v>8.533333333333335</v>
      </c>
    </row>
    <row r="286" spans="1:13" x14ac:dyDescent="0.2">
      <c r="A286" s="225"/>
      <c r="B286" s="226" t="s">
        <v>247</v>
      </c>
      <c r="C286" s="96" t="s">
        <v>8</v>
      </c>
      <c r="D286" s="184">
        <v>9</v>
      </c>
      <c r="E286" s="185"/>
      <c r="F286" s="91"/>
      <c r="G286" s="92">
        <f t="shared" si="42"/>
        <v>0</v>
      </c>
      <c r="I286" s="33">
        <f>0.222*D286*6</f>
        <v>11.988</v>
      </c>
    </row>
    <row r="287" spans="1:13" x14ac:dyDescent="0.2">
      <c r="A287" s="225"/>
      <c r="B287" s="226" t="s">
        <v>14</v>
      </c>
      <c r="C287" s="96" t="s">
        <v>9</v>
      </c>
      <c r="D287" s="184">
        <f>D284*20</f>
        <v>1.3773599999999999</v>
      </c>
      <c r="E287" s="185"/>
      <c r="F287" s="91"/>
      <c r="G287" s="92">
        <f t="shared" si="42"/>
        <v>0</v>
      </c>
      <c r="I287" s="33">
        <f>SUM(I285:I286)</f>
        <v>68.867999999999995</v>
      </c>
      <c r="J287" s="33"/>
    </row>
    <row r="288" spans="1:13" x14ac:dyDescent="0.2">
      <c r="A288" s="225" t="s">
        <v>201</v>
      </c>
      <c r="B288" s="226" t="s">
        <v>312</v>
      </c>
      <c r="C288" s="96" t="s">
        <v>142</v>
      </c>
      <c r="D288" s="184">
        <f>I291/1000</f>
        <v>0.99940800000000007</v>
      </c>
      <c r="E288" s="185"/>
      <c r="F288" s="91"/>
      <c r="G288" s="92">
        <f t="shared" si="42"/>
        <v>0</v>
      </c>
      <c r="I288" s="33"/>
      <c r="J288" s="33"/>
    </row>
    <row r="289" spans="1:13" x14ac:dyDescent="0.2">
      <c r="A289" s="225"/>
      <c r="B289" s="226" t="s">
        <v>244</v>
      </c>
      <c r="C289" s="96" t="s">
        <v>8</v>
      </c>
      <c r="D289" s="184">
        <v>88</v>
      </c>
      <c r="E289" s="185"/>
      <c r="F289" s="91"/>
      <c r="G289" s="92">
        <f t="shared" ref="G289:G291" si="43">(D289*E289)+(D289*F289)</f>
        <v>0</v>
      </c>
      <c r="I289" s="33">
        <f>D289*1.58*6</f>
        <v>834.24000000000012</v>
      </c>
      <c r="J289" s="22">
        <f>19.4*3+10.7*5</f>
        <v>111.69999999999999</v>
      </c>
      <c r="K289" s="22">
        <f>J289/0.15</f>
        <v>744.66666666666663</v>
      </c>
      <c r="L289" s="22">
        <f>K289/6</f>
        <v>124.1111111111111</v>
      </c>
    </row>
    <row r="290" spans="1:13" x14ac:dyDescent="0.2">
      <c r="A290" s="225"/>
      <c r="B290" s="226" t="s">
        <v>247</v>
      </c>
      <c r="C290" s="96" t="s">
        <v>8</v>
      </c>
      <c r="D290" s="184">
        <v>124</v>
      </c>
      <c r="E290" s="185"/>
      <c r="F290" s="91"/>
      <c r="G290" s="92">
        <f t="shared" si="43"/>
        <v>0</v>
      </c>
      <c r="I290" s="33">
        <f>0.222*D290*6</f>
        <v>165.16800000000001</v>
      </c>
    </row>
    <row r="291" spans="1:13" ht="12.75" thickBot="1" x14ac:dyDescent="0.25">
      <c r="A291" s="369"/>
      <c r="B291" s="370" t="s">
        <v>14</v>
      </c>
      <c r="C291" s="357" t="s">
        <v>9</v>
      </c>
      <c r="D291" s="371">
        <f>D288*20</f>
        <v>19.988160000000001</v>
      </c>
      <c r="E291" s="359"/>
      <c r="F291" s="358"/>
      <c r="G291" s="372">
        <f t="shared" si="43"/>
        <v>0</v>
      </c>
      <c r="I291" s="33">
        <f>SUM(I289:I290)</f>
        <v>999.40800000000013</v>
      </c>
      <c r="J291" s="33"/>
    </row>
    <row r="292" spans="1:13" x14ac:dyDescent="0.2">
      <c r="A292" s="225"/>
      <c r="B292" s="226"/>
      <c r="C292" s="96"/>
      <c r="D292" s="184"/>
      <c r="E292" s="185"/>
      <c r="F292" s="91"/>
      <c r="G292" s="92"/>
      <c r="I292" s="33"/>
      <c r="J292" s="33"/>
    </row>
    <row r="293" spans="1:13" x14ac:dyDescent="0.2">
      <c r="A293" s="218" t="s">
        <v>163</v>
      </c>
      <c r="B293" s="219" t="s">
        <v>216</v>
      </c>
      <c r="C293" s="239"/>
      <c r="D293" s="240"/>
      <c r="E293" s="241"/>
      <c r="F293" s="242"/>
      <c r="G293" s="243">
        <f>(D293*E293)+(D293*F293)</f>
        <v>0</v>
      </c>
    </row>
    <row r="294" spans="1:13" x14ac:dyDescent="0.2">
      <c r="A294" s="254" t="s">
        <v>198</v>
      </c>
      <c r="B294" s="228" t="s">
        <v>330</v>
      </c>
      <c r="C294" s="96"/>
      <c r="D294" s="184"/>
      <c r="E294" s="185"/>
      <c r="F294" s="91"/>
      <c r="G294" s="92">
        <f t="shared" ref="G294:G308" si="44">(D294*E294)+(D294*F294)</f>
        <v>0</v>
      </c>
    </row>
    <row r="295" spans="1:13" ht="45.75" customHeight="1" x14ac:dyDescent="0.2">
      <c r="A295" s="255"/>
      <c r="B295" s="226" t="s">
        <v>331</v>
      </c>
      <c r="C295" s="96" t="s">
        <v>150</v>
      </c>
      <c r="D295" s="184">
        <v>5.6</v>
      </c>
      <c r="E295" s="185"/>
      <c r="F295" s="91"/>
      <c r="G295" s="92">
        <f t="shared" si="44"/>
        <v>0</v>
      </c>
      <c r="I295" s="22">
        <f>12.925*0.2*0.2*4</f>
        <v>2.0680000000000005</v>
      </c>
      <c r="J295" s="22">
        <f>12.925*0.115*0.45*4</f>
        <v>2.6754750000000005</v>
      </c>
      <c r="K295" s="22">
        <f>2.85*0.15*0.15*2*4</f>
        <v>0.51300000000000001</v>
      </c>
      <c r="L295" s="22">
        <f>1.9*0.15*0.15*4*2</f>
        <v>0.34199999999999997</v>
      </c>
      <c r="M295" s="22">
        <f>SUM(I295:L295)</f>
        <v>5.5984750000000005</v>
      </c>
    </row>
    <row r="296" spans="1:13" ht="12" customHeight="1" x14ac:dyDescent="0.2">
      <c r="A296" s="254" t="s">
        <v>199</v>
      </c>
      <c r="B296" s="228" t="s">
        <v>332</v>
      </c>
      <c r="C296" s="96"/>
      <c r="D296" s="184"/>
      <c r="E296" s="185"/>
      <c r="F296" s="91"/>
      <c r="G296" s="92">
        <f t="shared" ref="G296:G297" si="45">(D296*E296)+(D296*F296)</f>
        <v>0</v>
      </c>
    </row>
    <row r="297" spans="1:13" ht="50.25" customHeight="1" x14ac:dyDescent="0.2">
      <c r="A297" s="255"/>
      <c r="B297" s="226" t="s">
        <v>458</v>
      </c>
      <c r="C297" s="96" t="s">
        <v>150</v>
      </c>
      <c r="D297" s="184">
        <v>1.9</v>
      </c>
      <c r="E297" s="185"/>
      <c r="F297" s="91"/>
      <c r="G297" s="92">
        <f t="shared" si="45"/>
        <v>0</v>
      </c>
      <c r="I297" s="22">
        <f>3*6+1.8*2</f>
        <v>21.6</v>
      </c>
      <c r="J297" s="22">
        <f>I297*0.875*0.1</f>
        <v>1.8900000000000003</v>
      </c>
    </row>
    <row r="298" spans="1:13" ht="13.5" customHeight="1" x14ac:dyDescent="0.2">
      <c r="A298" s="254" t="s">
        <v>201</v>
      </c>
      <c r="B298" s="228" t="s">
        <v>364</v>
      </c>
      <c r="C298" s="96"/>
      <c r="D298" s="184"/>
      <c r="E298" s="185"/>
      <c r="F298" s="91"/>
      <c r="G298" s="92">
        <f t="shared" ref="G298:G299" si="46">(D298*E298)+(D298*F298)</f>
        <v>0</v>
      </c>
    </row>
    <row r="299" spans="1:13" ht="51.75" customHeight="1" x14ac:dyDescent="0.2">
      <c r="A299" s="255"/>
      <c r="B299" s="226" t="s">
        <v>457</v>
      </c>
      <c r="C299" s="96" t="s">
        <v>150</v>
      </c>
      <c r="D299" s="184">
        <v>0.65</v>
      </c>
      <c r="E299" s="185"/>
      <c r="F299" s="91"/>
      <c r="G299" s="92">
        <f t="shared" si="46"/>
        <v>0</v>
      </c>
      <c r="I299" s="22">
        <f>2.975*5*0.2*0.1*2</f>
        <v>0.59500000000000008</v>
      </c>
      <c r="J299" s="22">
        <f>1.35*0.2*0.1*2</f>
        <v>5.4000000000000006E-2</v>
      </c>
      <c r="K299" s="22">
        <f>SUM(I299:J299)</f>
        <v>0.64900000000000013</v>
      </c>
    </row>
    <row r="300" spans="1:13" ht="12" customHeight="1" x14ac:dyDescent="0.2">
      <c r="A300" s="254" t="s">
        <v>200</v>
      </c>
      <c r="B300" s="228" t="s">
        <v>408</v>
      </c>
      <c r="C300" s="96"/>
      <c r="D300" s="184"/>
      <c r="E300" s="185"/>
      <c r="F300" s="91"/>
      <c r="G300" s="92">
        <f>(D300*E300)+(D300*F300)</f>
        <v>0</v>
      </c>
    </row>
    <row r="301" spans="1:13" ht="61.5" customHeight="1" x14ac:dyDescent="0.2">
      <c r="A301" s="255"/>
      <c r="B301" s="87" t="s">
        <v>409</v>
      </c>
      <c r="C301" s="96" t="s">
        <v>150</v>
      </c>
      <c r="D301" s="89">
        <v>1.6</v>
      </c>
      <c r="E301" s="90"/>
      <c r="F301" s="91"/>
      <c r="G301" s="92">
        <f t="shared" ref="G301" si="47">(D301*E301)+(D301*F301)</f>
        <v>0</v>
      </c>
    </row>
    <row r="302" spans="1:13" ht="15" customHeight="1" x14ac:dyDescent="0.2">
      <c r="A302" s="254" t="s">
        <v>321</v>
      </c>
      <c r="B302" s="228" t="s">
        <v>410</v>
      </c>
      <c r="C302" s="96"/>
      <c r="D302" s="184"/>
      <c r="E302" s="185"/>
      <c r="F302" s="91"/>
      <c r="G302" s="92">
        <f>(D302*E302)+(D302*F302)</f>
        <v>0</v>
      </c>
    </row>
    <row r="303" spans="1:13" ht="62.25" customHeight="1" x14ac:dyDescent="0.2">
      <c r="A303" s="255"/>
      <c r="B303" s="87" t="s">
        <v>411</v>
      </c>
      <c r="C303" s="96" t="s">
        <v>150</v>
      </c>
      <c r="D303" s="89">
        <v>0.4</v>
      </c>
      <c r="E303" s="90"/>
      <c r="F303" s="91"/>
      <c r="G303" s="92">
        <f t="shared" ref="G303" si="48">(D303*E303)+(D303*F303)</f>
        <v>0</v>
      </c>
      <c r="I303" s="22">
        <f>1.7*0.95*0.075*2</f>
        <v>0.24224999999999999</v>
      </c>
      <c r="J303" s="22">
        <f>0.2*0.2*1.8*2</f>
        <v>0.14400000000000004</v>
      </c>
      <c r="K303" s="22">
        <f>SUM(I303:J303)</f>
        <v>0.38625000000000004</v>
      </c>
    </row>
    <row r="304" spans="1:13" ht="12" customHeight="1" x14ac:dyDescent="0.2">
      <c r="A304" s="255"/>
      <c r="B304" s="87"/>
      <c r="C304" s="96"/>
      <c r="D304" s="89"/>
      <c r="E304" s="90"/>
      <c r="F304" s="91"/>
      <c r="G304" s="92"/>
    </row>
    <row r="305" spans="1:13" x14ac:dyDescent="0.2">
      <c r="A305" s="227" t="s">
        <v>164</v>
      </c>
      <c r="B305" s="228" t="s">
        <v>273</v>
      </c>
      <c r="C305" s="96"/>
      <c r="D305" s="184"/>
      <c r="E305" s="185"/>
      <c r="F305" s="91"/>
      <c r="G305" s="92">
        <f t="shared" si="44"/>
        <v>0</v>
      </c>
    </row>
    <row r="306" spans="1:13" ht="36" x14ac:dyDescent="0.2">
      <c r="A306" s="255" t="s">
        <v>65</v>
      </c>
      <c r="B306" s="226" t="s">
        <v>210</v>
      </c>
      <c r="C306" s="96" t="s">
        <v>151</v>
      </c>
      <c r="D306" s="184">
        <f>D97+D145+D146+D147+D375</f>
        <v>394.59000000000003</v>
      </c>
      <c r="E306" s="185"/>
      <c r="F306" s="91"/>
      <c r="G306" s="92">
        <f t="shared" si="44"/>
        <v>0</v>
      </c>
      <c r="J306" s="33"/>
    </row>
    <row r="307" spans="1:13" ht="33" customHeight="1" x14ac:dyDescent="0.2">
      <c r="A307" s="255" t="s">
        <v>66</v>
      </c>
      <c r="B307" s="226" t="s">
        <v>179</v>
      </c>
      <c r="C307" s="96" t="s">
        <v>15</v>
      </c>
      <c r="D307" s="184">
        <v>1</v>
      </c>
      <c r="E307" s="185"/>
      <c r="F307" s="91"/>
      <c r="G307" s="92">
        <f t="shared" ref="G307" si="49">(D307*E307)+(D307*F307)</f>
        <v>0</v>
      </c>
    </row>
    <row r="308" spans="1:13" ht="42" customHeight="1" x14ac:dyDescent="0.2">
      <c r="A308" s="255" t="s">
        <v>70</v>
      </c>
      <c r="B308" s="226" t="s">
        <v>189</v>
      </c>
      <c r="C308" s="96" t="s">
        <v>15</v>
      </c>
      <c r="D308" s="184">
        <v>1</v>
      </c>
      <c r="E308" s="185"/>
      <c r="F308" s="91"/>
      <c r="G308" s="92">
        <f t="shared" si="44"/>
        <v>0</v>
      </c>
      <c r="I308" s="33"/>
      <c r="J308" s="54"/>
      <c r="K308" s="54"/>
      <c r="L308" s="33"/>
      <c r="M308" s="54"/>
    </row>
    <row r="309" spans="1:13" x14ac:dyDescent="0.2">
      <c r="A309" s="225"/>
      <c r="B309" s="256"/>
      <c r="C309" s="229"/>
      <c r="D309" s="230"/>
      <c r="E309" s="185"/>
      <c r="F309" s="91"/>
      <c r="G309" s="92"/>
      <c r="I309" s="54"/>
      <c r="J309" s="54"/>
      <c r="K309" s="54"/>
      <c r="L309" s="54"/>
      <c r="M309" s="54"/>
    </row>
    <row r="310" spans="1:13" x14ac:dyDescent="0.2">
      <c r="A310" s="225"/>
      <c r="B310" s="256"/>
      <c r="C310" s="229"/>
      <c r="D310" s="230"/>
      <c r="E310" s="185"/>
      <c r="F310" s="91"/>
      <c r="G310" s="92"/>
      <c r="I310" s="54"/>
      <c r="J310" s="54"/>
      <c r="K310" s="54"/>
      <c r="L310" s="54"/>
      <c r="M310" s="54"/>
    </row>
    <row r="311" spans="1:13" x14ac:dyDescent="0.2">
      <c r="A311" s="225"/>
      <c r="B311" s="256"/>
      <c r="C311" s="229"/>
      <c r="D311" s="230"/>
      <c r="E311" s="185"/>
      <c r="F311" s="91"/>
      <c r="G311" s="92"/>
      <c r="I311" s="54"/>
      <c r="J311" s="54"/>
      <c r="K311" s="54"/>
      <c r="L311" s="54"/>
      <c r="M311" s="54"/>
    </row>
    <row r="312" spans="1:13" x14ac:dyDescent="0.2">
      <c r="A312" s="225"/>
      <c r="B312" s="256"/>
      <c r="C312" s="229"/>
      <c r="D312" s="230"/>
      <c r="E312" s="185"/>
      <c r="F312" s="91"/>
      <c r="G312" s="92"/>
      <c r="I312" s="54"/>
      <c r="J312" s="54"/>
      <c r="K312" s="54"/>
      <c r="L312" s="54"/>
      <c r="M312" s="54"/>
    </row>
    <row r="313" spans="1:13" x14ac:dyDescent="0.2">
      <c r="A313" s="225"/>
      <c r="B313" s="256"/>
      <c r="C313" s="229"/>
      <c r="D313" s="230"/>
      <c r="E313" s="185"/>
      <c r="F313" s="91"/>
      <c r="G313" s="92"/>
      <c r="I313" s="54"/>
      <c r="J313" s="54"/>
      <c r="K313" s="54"/>
      <c r="L313" s="54"/>
      <c r="M313" s="54"/>
    </row>
    <row r="314" spans="1:13" x14ac:dyDescent="0.2">
      <c r="A314" s="225"/>
      <c r="B314" s="256"/>
      <c r="C314" s="229"/>
      <c r="D314" s="230"/>
      <c r="E314" s="185"/>
      <c r="F314" s="91"/>
      <c r="G314" s="92"/>
      <c r="I314" s="54"/>
      <c r="J314" s="54"/>
      <c r="K314" s="54"/>
      <c r="L314" s="54"/>
      <c r="M314" s="54"/>
    </row>
    <row r="315" spans="1:13" x14ac:dyDescent="0.2">
      <c r="A315" s="225"/>
      <c r="B315" s="256"/>
      <c r="C315" s="229"/>
      <c r="D315" s="230"/>
      <c r="E315" s="185"/>
      <c r="F315" s="91"/>
      <c r="G315" s="92"/>
      <c r="I315" s="54"/>
      <c r="J315" s="54"/>
      <c r="K315" s="54"/>
      <c r="L315" s="54"/>
      <c r="M315" s="54"/>
    </row>
    <row r="316" spans="1:13" x14ac:dyDescent="0.2">
      <c r="A316" s="225"/>
      <c r="B316" s="256"/>
      <c r="C316" s="229"/>
      <c r="D316" s="230"/>
      <c r="E316" s="185"/>
      <c r="F316" s="91"/>
      <c r="G316" s="92"/>
      <c r="I316" s="54"/>
      <c r="J316" s="54"/>
      <c r="K316" s="54"/>
      <c r="L316" s="54"/>
      <c r="M316" s="54"/>
    </row>
    <row r="317" spans="1:13" x14ac:dyDescent="0.2">
      <c r="A317" s="225"/>
      <c r="B317" s="256"/>
      <c r="C317" s="229"/>
      <c r="D317" s="230"/>
      <c r="E317" s="185"/>
      <c r="F317" s="91"/>
      <c r="G317" s="92"/>
      <c r="I317" s="54"/>
      <c r="J317" s="54"/>
      <c r="K317" s="54"/>
      <c r="L317" s="54"/>
      <c r="M317" s="54"/>
    </row>
    <row r="318" spans="1:13" x14ac:dyDescent="0.2">
      <c r="A318" s="225"/>
      <c r="B318" s="256"/>
      <c r="C318" s="229"/>
      <c r="D318" s="230"/>
      <c r="E318" s="185"/>
      <c r="F318" s="91"/>
      <c r="G318" s="92"/>
      <c r="I318" s="54"/>
      <c r="J318" s="54"/>
      <c r="K318" s="54"/>
      <c r="L318" s="54"/>
      <c r="M318" s="54"/>
    </row>
    <row r="319" spans="1:13" x14ac:dyDescent="0.2">
      <c r="A319" s="225"/>
      <c r="B319" s="256"/>
      <c r="C319" s="229"/>
      <c r="D319" s="230"/>
      <c r="E319" s="185"/>
      <c r="F319" s="91"/>
      <c r="G319" s="92"/>
      <c r="I319" s="54"/>
      <c r="J319" s="54"/>
      <c r="K319" s="54"/>
      <c r="L319" s="54"/>
      <c r="M319" s="54"/>
    </row>
    <row r="320" spans="1:13" x14ac:dyDescent="0.2">
      <c r="A320" s="225"/>
      <c r="B320" s="256"/>
      <c r="C320" s="229"/>
      <c r="D320" s="230"/>
      <c r="E320" s="185"/>
      <c r="F320" s="91"/>
      <c r="G320" s="92"/>
      <c r="I320" s="54"/>
      <c r="J320" s="54"/>
      <c r="K320" s="54"/>
      <c r="L320" s="54"/>
      <c r="M320" s="54"/>
    </row>
    <row r="321" spans="1:13" x14ac:dyDescent="0.2">
      <c r="A321" s="225"/>
      <c r="B321" s="256"/>
      <c r="C321" s="229"/>
      <c r="D321" s="230"/>
      <c r="E321" s="185"/>
      <c r="F321" s="91"/>
      <c r="G321" s="92"/>
      <c r="I321" s="54"/>
      <c r="J321" s="54"/>
      <c r="K321" s="54"/>
      <c r="L321" s="54"/>
      <c r="M321" s="54"/>
    </row>
    <row r="322" spans="1:13" x14ac:dyDescent="0.2">
      <c r="A322" s="225"/>
      <c r="B322" s="256"/>
      <c r="C322" s="229"/>
      <c r="D322" s="230"/>
      <c r="E322" s="185"/>
      <c r="F322" s="91"/>
      <c r="G322" s="92"/>
      <c r="I322" s="54"/>
      <c r="J322" s="54"/>
      <c r="K322" s="54"/>
      <c r="L322" s="54"/>
      <c r="M322" s="54"/>
    </row>
    <row r="323" spans="1:13" ht="12.75" thickBot="1" x14ac:dyDescent="0.25">
      <c r="A323" s="225"/>
      <c r="B323" s="256"/>
      <c r="C323" s="229"/>
      <c r="D323" s="230"/>
      <c r="E323" s="185"/>
      <c r="F323" s="91"/>
      <c r="G323" s="92"/>
      <c r="I323" s="54"/>
      <c r="J323" s="54"/>
      <c r="K323" s="54"/>
      <c r="L323" s="54"/>
      <c r="M323" s="54"/>
    </row>
    <row r="324" spans="1:13" x14ac:dyDescent="0.2">
      <c r="A324" s="137"/>
      <c r="B324" s="147" t="s">
        <v>159</v>
      </c>
      <c r="C324" s="148"/>
      <c r="D324" s="149"/>
      <c r="E324" s="150"/>
      <c r="F324" s="151"/>
      <c r="G324" s="386"/>
    </row>
    <row r="325" spans="1:13" ht="12.75" thickBot="1" x14ac:dyDescent="0.25">
      <c r="A325" s="362"/>
      <c r="B325" s="356" t="s">
        <v>186</v>
      </c>
      <c r="C325" s="368"/>
      <c r="D325" s="364"/>
      <c r="E325" s="365"/>
      <c r="F325" s="358"/>
      <c r="G325" s="360">
        <f>SUM(G97:G308)</f>
        <v>0</v>
      </c>
    </row>
    <row r="326" spans="1:13" x14ac:dyDescent="0.2">
      <c r="A326" s="98"/>
      <c r="B326" s="179"/>
      <c r="C326" s="100"/>
      <c r="D326" s="101"/>
      <c r="E326" s="90"/>
      <c r="F326" s="91"/>
      <c r="G326" s="233"/>
    </row>
    <row r="327" spans="1:13" x14ac:dyDescent="0.2">
      <c r="A327" s="98"/>
      <c r="B327" s="99" t="s">
        <v>104</v>
      </c>
      <c r="C327" s="100"/>
      <c r="D327" s="101"/>
      <c r="E327" s="90"/>
      <c r="F327" s="91"/>
      <c r="G327" s="92"/>
    </row>
    <row r="328" spans="1:13" x14ac:dyDescent="0.2">
      <c r="A328" s="98"/>
      <c r="B328" s="102" t="s">
        <v>105</v>
      </c>
      <c r="C328" s="100"/>
      <c r="D328" s="101"/>
      <c r="E328" s="90"/>
      <c r="F328" s="91"/>
      <c r="G328" s="92"/>
    </row>
    <row r="329" spans="1:13" x14ac:dyDescent="0.2">
      <c r="A329" s="257">
        <v>4.0999999999999996</v>
      </c>
      <c r="B329" s="170" t="s">
        <v>41</v>
      </c>
      <c r="C329" s="100"/>
      <c r="D329" s="101"/>
      <c r="E329" s="90"/>
      <c r="F329" s="91"/>
      <c r="G329" s="92"/>
    </row>
    <row r="330" spans="1:13" ht="63" customHeight="1" x14ac:dyDescent="0.2">
      <c r="A330" s="98"/>
      <c r="B330" s="131" t="s">
        <v>218</v>
      </c>
      <c r="C330" s="131"/>
      <c r="D330" s="131"/>
      <c r="E330" s="131"/>
      <c r="F330" s="131"/>
      <c r="G330" s="237"/>
    </row>
    <row r="331" spans="1:13" ht="63" customHeight="1" x14ac:dyDescent="0.2">
      <c r="A331" s="98"/>
      <c r="B331" s="131" t="s">
        <v>217</v>
      </c>
      <c r="C331" s="106"/>
      <c r="D331" s="106"/>
      <c r="E331" s="106"/>
      <c r="F331" s="106"/>
      <c r="G331" s="107"/>
    </row>
    <row r="332" spans="1:13" ht="39" customHeight="1" x14ac:dyDescent="0.2">
      <c r="A332" s="98"/>
      <c r="B332" s="131" t="s">
        <v>281</v>
      </c>
      <c r="C332" s="106"/>
      <c r="D332" s="106"/>
      <c r="E332" s="106"/>
      <c r="F332" s="106"/>
      <c r="G332" s="107"/>
    </row>
    <row r="333" spans="1:13" x14ac:dyDescent="0.2">
      <c r="A333" s="227" t="s">
        <v>143</v>
      </c>
      <c r="B333" s="258" t="s">
        <v>146</v>
      </c>
      <c r="C333" s="96"/>
      <c r="D333" s="184"/>
      <c r="E333" s="185"/>
      <c r="F333" s="91"/>
      <c r="G333" s="92"/>
    </row>
    <row r="334" spans="1:13" x14ac:dyDescent="0.2">
      <c r="A334" s="218" t="s">
        <v>160</v>
      </c>
      <c r="B334" s="259" t="s">
        <v>459</v>
      </c>
      <c r="C334" s="220"/>
      <c r="D334" s="221"/>
      <c r="E334" s="222"/>
      <c r="F334" s="223"/>
      <c r="G334" s="224"/>
      <c r="I334" s="33"/>
    </row>
    <row r="335" spans="1:13" x14ac:dyDescent="0.2">
      <c r="A335" s="227"/>
      <c r="B335" s="260" t="s">
        <v>211</v>
      </c>
      <c r="C335" s="229"/>
      <c r="D335" s="230"/>
      <c r="E335" s="231"/>
      <c r="F335" s="232"/>
      <c r="G335" s="92"/>
    </row>
    <row r="336" spans="1:13" ht="24" x14ac:dyDescent="0.2">
      <c r="A336" s="225"/>
      <c r="B336" s="226" t="s">
        <v>432</v>
      </c>
      <c r="C336" s="96" t="s">
        <v>151</v>
      </c>
      <c r="D336" s="184">
        <v>76.06</v>
      </c>
      <c r="E336" s="185"/>
      <c r="F336" s="91"/>
      <c r="G336" s="92">
        <f t="shared" ref="G336" si="50">(D336*E336)+(D336*F336)</f>
        <v>0</v>
      </c>
      <c r="I336" s="54">
        <f>I101+I102</f>
        <v>121.69999999999999</v>
      </c>
      <c r="J336" s="54">
        <f>I336*0.625</f>
        <v>76.0625</v>
      </c>
      <c r="K336" s="54">
        <f>J336</f>
        <v>76.0625</v>
      </c>
      <c r="L336" s="54"/>
    </row>
    <row r="337" spans="1:14" x14ac:dyDescent="0.2">
      <c r="A337" s="218" t="s">
        <v>161</v>
      </c>
      <c r="B337" s="259" t="s">
        <v>67</v>
      </c>
      <c r="C337" s="220"/>
      <c r="D337" s="221"/>
      <c r="E337" s="222"/>
      <c r="F337" s="223"/>
      <c r="G337" s="224"/>
    </row>
    <row r="338" spans="1:14" x14ac:dyDescent="0.2">
      <c r="A338" s="227" t="s">
        <v>176</v>
      </c>
      <c r="B338" s="260" t="s">
        <v>460</v>
      </c>
      <c r="C338" s="229"/>
      <c r="D338" s="230"/>
      <c r="E338" s="231"/>
      <c r="F338" s="232"/>
      <c r="G338" s="92">
        <f t="shared" ref="G338:G341" si="51">(D338*E338)+(D338*F338)</f>
        <v>0</v>
      </c>
    </row>
    <row r="339" spans="1:14" ht="13.5" customHeight="1" x14ac:dyDescent="0.2">
      <c r="A339" s="255" t="s">
        <v>198</v>
      </c>
      <c r="B339" s="226" t="s">
        <v>334</v>
      </c>
      <c r="C339" s="96" t="s">
        <v>151</v>
      </c>
      <c r="D339" s="184">
        <v>101.21</v>
      </c>
      <c r="E339" s="185"/>
      <c r="F339" s="91"/>
      <c r="G339" s="92">
        <f t="shared" si="51"/>
        <v>0</v>
      </c>
      <c r="I339" s="22">
        <f>3*9+1.65+1.5+4.02*2+4.08*2</f>
        <v>46.349999999999994</v>
      </c>
      <c r="J339" s="22">
        <f>I339*3.05</f>
        <v>141.36749999999998</v>
      </c>
      <c r="K339" s="22">
        <v>43.11</v>
      </c>
      <c r="L339" s="22">
        <f>J339-K339</f>
        <v>98.257499999999979</v>
      </c>
      <c r="M339" s="22">
        <f>L339*103%</f>
        <v>101.20522499999998</v>
      </c>
    </row>
    <row r="340" spans="1:14" ht="24" x14ac:dyDescent="0.2">
      <c r="A340" s="255" t="s">
        <v>199</v>
      </c>
      <c r="B340" s="226" t="s">
        <v>336</v>
      </c>
      <c r="C340" s="96" t="s">
        <v>151</v>
      </c>
      <c r="D340" s="184">
        <v>3.9</v>
      </c>
      <c r="E340" s="185"/>
      <c r="F340" s="91"/>
      <c r="G340" s="92">
        <f t="shared" si="51"/>
        <v>0</v>
      </c>
      <c r="I340" s="22">
        <f>0.45*1.725*5</f>
        <v>3.8812500000000005</v>
      </c>
    </row>
    <row r="341" spans="1:14" x14ac:dyDescent="0.2">
      <c r="A341" s="227" t="s">
        <v>177</v>
      </c>
      <c r="B341" s="260" t="s">
        <v>461</v>
      </c>
      <c r="C341" s="229"/>
      <c r="D341" s="230"/>
      <c r="E341" s="231"/>
      <c r="F341" s="232"/>
      <c r="G341" s="92">
        <f t="shared" si="51"/>
        <v>0</v>
      </c>
    </row>
    <row r="342" spans="1:14" ht="24" x14ac:dyDescent="0.2">
      <c r="A342" s="255" t="s">
        <v>198</v>
      </c>
      <c r="B342" s="226" t="s">
        <v>334</v>
      </c>
      <c r="C342" s="96" t="s">
        <v>151</v>
      </c>
      <c r="D342" s="184">
        <v>72.3</v>
      </c>
      <c r="E342" s="185"/>
      <c r="F342" s="91"/>
      <c r="G342" s="92">
        <f t="shared" ref="G342:G343" si="52">(D342*E342)+(D342*F342)</f>
        <v>0</v>
      </c>
      <c r="I342" s="22">
        <f>3.82*3+4.08*3</f>
        <v>23.7</v>
      </c>
      <c r="J342" s="22">
        <f>I342*3.05</f>
        <v>72.284999999999997</v>
      </c>
    </row>
    <row r="343" spans="1:14" ht="13.5" x14ac:dyDescent="0.2">
      <c r="A343" s="225" t="s">
        <v>199</v>
      </c>
      <c r="B343" s="261" t="s">
        <v>335</v>
      </c>
      <c r="C343" s="96" t="s">
        <v>151</v>
      </c>
      <c r="D343" s="184">
        <v>54.15</v>
      </c>
      <c r="E343" s="185"/>
      <c r="F343" s="91"/>
      <c r="G343" s="92">
        <f t="shared" si="52"/>
        <v>0</v>
      </c>
      <c r="I343" s="22">
        <f>3.475+2.75+1.55*5+2.7+1.35</f>
        <v>18.025000000000002</v>
      </c>
      <c r="J343" s="22">
        <f>I343*3.35</f>
        <v>60.383750000000006</v>
      </c>
      <c r="K343" s="22">
        <f>0.78*2*4</f>
        <v>6.24</v>
      </c>
      <c r="L343" s="22">
        <f>J343-K343</f>
        <v>54.143750000000004</v>
      </c>
    </row>
    <row r="344" spans="1:14" x14ac:dyDescent="0.2">
      <c r="A344" s="225"/>
      <c r="B344" s="261"/>
      <c r="C344" s="96"/>
      <c r="D344" s="184"/>
      <c r="E344" s="185"/>
      <c r="F344" s="91"/>
      <c r="G344" s="92"/>
    </row>
    <row r="345" spans="1:14" x14ac:dyDescent="0.2">
      <c r="A345" s="218" t="s">
        <v>57</v>
      </c>
      <c r="B345" s="259" t="s">
        <v>69</v>
      </c>
      <c r="C345" s="220"/>
      <c r="D345" s="221"/>
      <c r="E345" s="222"/>
      <c r="F345" s="223"/>
      <c r="G345" s="224"/>
    </row>
    <row r="346" spans="1:14" x14ac:dyDescent="0.2">
      <c r="A346" s="227" t="s">
        <v>176</v>
      </c>
      <c r="B346" s="260" t="s">
        <v>460</v>
      </c>
      <c r="C346" s="229"/>
      <c r="D346" s="230"/>
      <c r="E346" s="231"/>
      <c r="F346" s="232"/>
      <c r="G346" s="92">
        <f t="shared" ref="G346:G348" si="53">(D346*E346)+(D346*F346)</f>
        <v>0</v>
      </c>
    </row>
    <row r="347" spans="1:14" ht="24" x14ac:dyDescent="0.2">
      <c r="A347" s="255" t="s">
        <v>198</v>
      </c>
      <c r="B347" s="226" t="s">
        <v>334</v>
      </c>
      <c r="C347" s="96" t="s">
        <v>151</v>
      </c>
      <c r="D347" s="184">
        <v>111.06</v>
      </c>
      <c r="E347" s="185"/>
      <c r="F347" s="91"/>
      <c r="G347" s="92">
        <f t="shared" si="53"/>
        <v>0</v>
      </c>
      <c r="I347" s="22">
        <f>3*11+4.02*2+4.08*2</f>
        <v>49.2</v>
      </c>
      <c r="J347" s="22">
        <f>I347*3.1</f>
        <v>152.52000000000001</v>
      </c>
      <c r="K347" s="22">
        <v>44.7</v>
      </c>
      <c r="L347" s="22">
        <f>J347-K347</f>
        <v>107.82000000000001</v>
      </c>
      <c r="M347" s="22">
        <f>L347*103%</f>
        <v>111.05460000000001</v>
      </c>
    </row>
    <row r="348" spans="1:14" ht="24" x14ac:dyDescent="0.2">
      <c r="A348" s="255" t="s">
        <v>199</v>
      </c>
      <c r="B348" s="226" t="s">
        <v>336</v>
      </c>
      <c r="C348" s="96" t="s">
        <v>151</v>
      </c>
      <c r="D348" s="184">
        <v>5.44</v>
      </c>
      <c r="E348" s="185"/>
      <c r="F348" s="91"/>
      <c r="G348" s="92">
        <f t="shared" si="53"/>
        <v>0</v>
      </c>
      <c r="I348" s="22">
        <f>0.45*1.725*7</f>
        <v>5.4337500000000007</v>
      </c>
    </row>
    <row r="349" spans="1:14" x14ac:dyDescent="0.2">
      <c r="A349" s="227" t="s">
        <v>177</v>
      </c>
      <c r="B349" s="260" t="s">
        <v>461</v>
      </c>
      <c r="C349" s="229"/>
      <c r="D349" s="230"/>
      <c r="E349" s="231"/>
      <c r="F349" s="232"/>
      <c r="G349" s="92">
        <f t="shared" ref="G349:G351" si="54">(D349*E349)+(D349*F349)</f>
        <v>0</v>
      </c>
    </row>
    <row r="350" spans="1:14" ht="18" customHeight="1" x14ac:dyDescent="0.2">
      <c r="A350" s="255" t="s">
        <v>198</v>
      </c>
      <c r="B350" s="226" t="s">
        <v>334</v>
      </c>
      <c r="C350" s="96" t="s">
        <v>151</v>
      </c>
      <c r="D350" s="184">
        <v>77.5</v>
      </c>
      <c r="E350" s="185"/>
      <c r="F350" s="91"/>
      <c r="G350" s="92">
        <f t="shared" si="54"/>
        <v>0</v>
      </c>
      <c r="I350" s="22">
        <f>8.35*3+3</f>
        <v>28.049999999999997</v>
      </c>
      <c r="J350" s="22">
        <f>I350*3.1</f>
        <v>86.954999999999998</v>
      </c>
      <c r="K350" s="22">
        <f>0.95*2.83</f>
        <v>2.6884999999999999</v>
      </c>
      <c r="L350" s="22">
        <f>J350-K350</f>
        <v>84.266499999999994</v>
      </c>
      <c r="M350" s="22">
        <f>L350-6.77</f>
        <v>77.496499999999997</v>
      </c>
    </row>
    <row r="351" spans="1:14" ht="13.5" x14ac:dyDescent="0.2">
      <c r="A351" s="225" t="s">
        <v>199</v>
      </c>
      <c r="B351" s="261" t="s">
        <v>335</v>
      </c>
      <c r="C351" s="96" t="s">
        <v>151</v>
      </c>
      <c r="D351" s="184">
        <v>42.7</v>
      </c>
      <c r="E351" s="185"/>
      <c r="F351" s="91"/>
      <c r="G351" s="92">
        <f t="shared" si="54"/>
        <v>0</v>
      </c>
      <c r="I351" s="22">
        <f>3.475+2.75+1.55*5</f>
        <v>13.975</v>
      </c>
      <c r="J351" s="22">
        <f>I351*3.5</f>
        <v>48.912500000000001</v>
      </c>
      <c r="K351" s="22">
        <f>0.78*2*4</f>
        <v>6.24</v>
      </c>
      <c r="L351" s="22">
        <f>J351-K351</f>
        <v>42.672499999999999</v>
      </c>
      <c r="N351" s="22">
        <f>M351+L351</f>
        <v>42.672499999999999</v>
      </c>
    </row>
    <row r="352" spans="1:14" x14ac:dyDescent="0.2">
      <c r="A352" s="225"/>
      <c r="B352" s="261"/>
      <c r="C352" s="96"/>
      <c r="D352" s="184"/>
      <c r="E352" s="185"/>
      <c r="F352" s="91"/>
      <c r="G352" s="92"/>
      <c r="K352" s="33"/>
      <c r="L352" s="33"/>
    </row>
    <row r="353" spans="1:12" x14ac:dyDescent="0.2">
      <c r="A353" s="218" t="s">
        <v>163</v>
      </c>
      <c r="B353" s="259" t="s">
        <v>337</v>
      </c>
      <c r="C353" s="220"/>
      <c r="D353" s="221"/>
      <c r="E353" s="222"/>
      <c r="F353" s="223"/>
      <c r="G353" s="224"/>
      <c r="K353" s="33"/>
    </row>
    <row r="354" spans="1:12" x14ac:dyDescent="0.2">
      <c r="A354" s="227" t="s">
        <v>176</v>
      </c>
      <c r="B354" s="258" t="s">
        <v>460</v>
      </c>
      <c r="C354" s="229"/>
      <c r="D354" s="230"/>
      <c r="E354" s="231"/>
      <c r="F354" s="232"/>
      <c r="G354" s="92">
        <f t="shared" ref="G354:G355" si="55">(D354*E354)+(D354*F354)</f>
        <v>0</v>
      </c>
      <c r="K354" s="33"/>
    </row>
    <row r="355" spans="1:12" ht="13.5" x14ac:dyDescent="0.2">
      <c r="A355" s="225"/>
      <c r="B355" s="226" t="s">
        <v>333</v>
      </c>
      <c r="C355" s="96" t="s">
        <v>151</v>
      </c>
      <c r="D355" s="184">
        <v>23.1</v>
      </c>
      <c r="E355" s="185"/>
      <c r="F355" s="91"/>
      <c r="G355" s="92">
        <f t="shared" si="55"/>
        <v>0</v>
      </c>
      <c r="I355" s="22">
        <f>5.35*2.15*2</f>
        <v>23.004999999999999</v>
      </c>
      <c r="K355" s="33"/>
      <c r="L355" s="33"/>
    </row>
    <row r="356" spans="1:12" x14ac:dyDescent="0.2">
      <c r="A356" s="225"/>
      <c r="B356" s="261"/>
      <c r="C356" s="96"/>
      <c r="D356" s="184"/>
      <c r="E356" s="185"/>
      <c r="F356" s="91"/>
      <c r="G356" s="92"/>
      <c r="K356" s="33"/>
    </row>
    <row r="357" spans="1:12" x14ac:dyDescent="0.2">
      <c r="A357" s="225"/>
      <c r="B357" s="261"/>
      <c r="C357" s="96"/>
      <c r="D357" s="184"/>
      <c r="E357" s="185"/>
      <c r="F357" s="91"/>
      <c r="G357" s="92"/>
      <c r="K357" s="33"/>
    </row>
    <row r="358" spans="1:12" x14ac:dyDescent="0.2">
      <c r="A358" s="225"/>
      <c r="B358" s="261"/>
      <c r="C358" s="96"/>
      <c r="D358" s="184"/>
      <c r="E358" s="185"/>
      <c r="F358" s="91"/>
      <c r="G358" s="92"/>
      <c r="K358" s="33"/>
    </row>
    <row r="359" spans="1:12" x14ac:dyDescent="0.2">
      <c r="A359" s="225"/>
      <c r="B359" s="261"/>
      <c r="C359" s="96"/>
      <c r="D359" s="184"/>
      <c r="E359" s="185"/>
      <c r="F359" s="91"/>
      <c r="G359" s="92"/>
      <c r="K359" s="33"/>
    </row>
    <row r="360" spans="1:12" x14ac:dyDescent="0.2">
      <c r="A360" s="225"/>
      <c r="B360" s="261"/>
      <c r="C360" s="96"/>
      <c r="D360" s="184"/>
      <c r="E360" s="185"/>
      <c r="F360" s="91"/>
      <c r="G360" s="92"/>
      <c r="K360" s="33"/>
    </row>
    <row r="361" spans="1:12" x14ac:dyDescent="0.2">
      <c r="A361" s="225"/>
      <c r="B361" s="261"/>
      <c r="C361" s="96"/>
      <c r="D361" s="184"/>
      <c r="E361" s="185"/>
      <c r="F361" s="91"/>
      <c r="G361" s="92"/>
      <c r="K361" s="33"/>
    </row>
    <row r="362" spans="1:12" x14ac:dyDescent="0.2">
      <c r="A362" s="225"/>
      <c r="B362" s="261"/>
      <c r="C362" s="96"/>
      <c r="D362" s="184"/>
      <c r="E362" s="185"/>
      <c r="F362" s="91"/>
      <c r="G362" s="92"/>
      <c r="K362" s="33"/>
    </row>
    <row r="363" spans="1:12" x14ac:dyDescent="0.2">
      <c r="A363" s="225"/>
      <c r="B363" s="261"/>
      <c r="C363" s="96"/>
      <c r="D363" s="184"/>
      <c r="E363" s="185"/>
      <c r="F363" s="91"/>
      <c r="G363" s="92"/>
      <c r="K363" s="33"/>
    </row>
    <row r="364" spans="1:12" x14ac:dyDescent="0.2">
      <c r="A364" s="225"/>
      <c r="B364" s="261"/>
      <c r="C364" s="96"/>
      <c r="D364" s="184"/>
      <c r="E364" s="185"/>
      <c r="F364" s="91"/>
      <c r="G364" s="92"/>
      <c r="K364" s="33"/>
    </row>
    <row r="365" spans="1:12" x14ac:dyDescent="0.2">
      <c r="A365" s="225"/>
      <c r="B365" s="261"/>
      <c r="C365" s="96"/>
      <c r="D365" s="184"/>
      <c r="E365" s="185"/>
      <c r="F365" s="91"/>
      <c r="G365" s="92"/>
      <c r="K365" s="33"/>
    </row>
    <row r="366" spans="1:12" x14ac:dyDescent="0.2">
      <c r="A366" s="225"/>
      <c r="B366" s="261"/>
      <c r="C366" s="96"/>
      <c r="D366" s="184"/>
      <c r="E366" s="185"/>
      <c r="F366" s="91"/>
      <c r="G366" s="92"/>
      <c r="K366" s="33"/>
    </row>
    <row r="367" spans="1:12" ht="12.75" thickBot="1" x14ac:dyDescent="0.25">
      <c r="A367" s="369"/>
      <c r="B367" s="387"/>
      <c r="C367" s="357"/>
      <c r="D367" s="371"/>
      <c r="E367" s="359"/>
      <c r="F367" s="358"/>
      <c r="G367" s="372"/>
      <c r="K367" s="33"/>
    </row>
    <row r="368" spans="1:12" x14ac:dyDescent="0.2">
      <c r="A368" s="225"/>
      <c r="B368" s="261"/>
      <c r="C368" s="96"/>
      <c r="D368" s="184"/>
      <c r="E368" s="185"/>
      <c r="F368" s="91"/>
      <c r="G368" s="92"/>
      <c r="K368" s="33"/>
    </row>
    <row r="369" spans="1:19" x14ac:dyDescent="0.2">
      <c r="A369" s="205">
        <v>4.3</v>
      </c>
      <c r="B369" s="262" t="s">
        <v>106</v>
      </c>
      <c r="C369" s="217"/>
      <c r="D369" s="208"/>
      <c r="E369" s="209"/>
      <c r="F369" s="208"/>
      <c r="G369" s="263"/>
      <c r="K369" s="33"/>
    </row>
    <row r="370" spans="1:19" ht="99" customHeight="1" x14ac:dyDescent="0.2">
      <c r="A370" s="98"/>
      <c r="B370" s="131" t="s">
        <v>213</v>
      </c>
      <c r="C370" s="131"/>
      <c r="D370" s="131"/>
      <c r="E370" s="131"/>
      <c r="F370" s="131"/>
      <c r="G370" s="107"/>
    </row>
    <row r="371" spans="1:19" ht="40.5" customHeight="1" x14ac:dyDescent="0.2">
      <c r="A371" s="98"/>
      <c r="B371" s="131" t="s">
        <v>168</v>
      </c>
      <c r="C371" s="131"/>
      <c r="D371" s="131"/>
      <c r="E371" s="131"/>
      <c r="F371" s="106"/>
      <c r="G371" s="107"/>
    </row>
    <row r="372" spans="1:19" ht="51" customHeight="1" x14ac:dyDescent="0.2">
      <c r="A372" s="98"/>
      <c r="B372" s="131" t="s">
        <v>280</v>
      </c>
      <c r="C372" s="131"/>
      <c r="D372" s="131"/>
      <c r="E372" s="131"/>
      <c r="F372" s="106"/>
      <c r="G372" s="107"/>
    </row>
    <row r="373" spans="1:19" x14ac:dyDescent="0.2">
      <c r="A373" s="218" t="s">
        <v>160</v>
      </c>
      <c r="B373" s="259" t="s">
        <v>145</v>
      </c>
      <c r="C373" s="220"/>
      <c r="D373" s="221"/>
      <c r="E373" s="222"/>
      <c r="F373" s="223"/>
      <c r="G373" s="224"/>
    </row>
    <row r="374" spans="1:19" x14ac:dyDescent="0.2">
      <c r="A374" s="225" t="s">
        <v>176</v>
      </c>
      <c r="B374" s="258" t="s">
        <v>268</v>
      </c>
      <c r="C374" s="229"/>
      <c r="D374" s="230"/>
      <c r="E374" s="231"/>
      <c r="F374" s="232"/>
      <c r="G374" s="92"/>
    </row>
    <row r="375" spans="1:19" ht="13.5" x14ac:dyDescent="0.2">
      <c r="A375" s="225"/>
      <c r="B375" s="261" t="s">
        <v>267</v>
      </c>
      <c r="C375" s="96" t="s">
        <v>151</v>
      </c>
      <c r="D375" s="184">
        <v>158.21</v>
      </c>
      <c r="E375" s="185"/>
      <c r="F375" s="91"/>
      <c r="G375" s="92">
        <f t="shared" ref="G375" si="56">(D375*E375)+(D375*F375)</f>
        <v>0</v>
      </c>
      <c r="I375" s="22">
        <f>121.7*0.65*2</f>
        <v>158.21</v>
      </c>
    </row>
    <row r="376" spans="1:19" x14ac:dyDescent="0.2">
      <c r="A376" s="218" t="s">
        <v>161</v>
      </c>
      <c r="B376" s="259" t="s">
        <v>67</v>
      </c>
      <c r="C376" s="220"/>
      <c r="D376" s="221"/>
      <c r="E376" s="222"/>
      <c r="F376" s="223"/>
      <c r="G376" s="224"/>
    </row>
    <row r="377" spans="1:19" s="55" customFormat="1" ht="15" customHeight="1" x14ac:dyDescent="0.2">
      <c r="A377" s="227" t="s">
        <v>176</v>
      </c>
      <c r="B377" s="260" t="s">
        <v>264</v>
      </c>
      <c r="C377" s="229"/>
      <c r="D377" s="230"/>
      <c r="E377" s="231"/>
      <c r="F377" s="264"/>
      <c r="G377" s="92">
        <f t="shared" ref="G377:G378" si="57">(D377*E377)+(D377*F377)</f>
        <v>0</v>
      </c>
      <c r="O377" s="22"/>
      <c r="P377" s="22"/>
      <c r="Q377" s="22"/>
      <c r="R377" s="22"/>
      <c r="S377" s="22"/>
    </row>
    <row r="378" spans="1:19" ht="13.5" x14ac:dyDescent="0.2">
      <c r="A378" s="225"/>
      <c r="B378" s="261" t="s">
        <v>147</v>
      </c>
      <c r="C378" s="96" t="s">
        <v>151</v>
      </c>
      <c r="D378" s="184">
        <v>224</v>
      </c>
      <c r="E378" s="185"/>
      <c r="F378" s="91"/>
      <c r="G378" s="92">
        <f t="shared" si="57"/>
        <v>0</v>
      </c>
      <c r="I378" s="54"/>
      <c r="J378" s="54"/>
    </row>
    <row r="379" spans="1:19" x14ac:dyDescent="0.2">
      <c r="A379" s="225"/>
      <c r="B379" s="261"/>
      <c r="C379" s="96"/>
      <c r="D379" s="184"/>
      <c r="E379" s="185"/>
      <c r="F379" s="91"/>
      <c r="G379" s="92"/>
      <c r="I379" s="22">
        <f>19.4*2+8.7*2</f>
        <v>56.199999999999996</v>
      </c>
      <c r="J379" s="22">
        <f>I379*3.875</f>
        <v>217.77499999999998</v>
      </c>
      <c r="K379" s="22">
        <v>43.11</v>
      </c>
      <c r="L379" s="22">
        <f>J379-K379</f>
        <v>174.66499999999996</v>
      </c>
      <c r="M379" s="22">
        <f>1.05*2*5</f>
        <v>10.5</v>
      </c>
      <c r="N379" s="22">
        <f>0.8*3.05*7</f>
        <v>17.079999999999998</v>
      </c>
      <c r="O379" s="22">
        <f>23.4*0.65</f>
        <v>15.209999999999999</v>
      </c>
      <c r="P379" s="22">
        <f>SUM(L379:O379)</f>
        <v>217.45499999999996</v>
      </c>
      <c r="Q379" s="22">
        <f>P379*103%</f>
        <v>223.97864999999996</v>
      </c>
    </row>
    <row r="380" spans="1:19" x14ac:dyDescent="0.2">
      <c r="A380" s="254" t="s">
        <v>177</v>
      </c>
      <c r="B380" s="256" t="s">
        <v>265</v>
      </c>
      <c r="C380" s="229"/>
      <c r="D380" s="230"/>
      <c r="E380" s="231"/>
      <c r="F380" s="232"/>
      <c r="G380" s="92">
        <f t="shared" ref="G380:G381" si="58">(D380*E380)+(D380*F380)</f>
        <v>0</v>
      </c>
    </row>
    <row r="381" spans="1:19" ht="25.5" customHeight="1" x14ac:dyDescent="0.2">
      <c r="A381" s="225"/>
      <c r="B381" s="226" t="s">
        <v>266</v>
      </c>
      <c r="C381" s="96" t="s">
        <v>151</v>
      </c>
      <c r="D381" s="184">
        <v>408.95</v>
      </c>
      <c r="E381" s="185"/>
      <c r="F381" s="91"/>
      <c r="G381" s="92">
        <f t="shared" si="58"/>
        <v>0</v>
      </c>
      <c r="I381" s="22">
        <f>8.3*3</f>
        <v>24.900000000000002</v>
      </c>
      <c r="J381" s="22">
        <f>I381*3.35*2</f>
        <v>166.83</v>
      </c>
      <c r="K381" s="22">
        <f>3.475+2.75+1.55*5+2.7+1.35</f>
        <v>18.025000000000002</v>
      </c>
      <c r="L381" s="22">
        <f>K381*3.35*2</f>
        <v>120.76750000000001</v>
      </c>
      <c r="M381" s="22">
        <f>0.78*2*4</f>
        <v>6.24</v>
      </c>
      <c r="N381" s="22">
        <f>L381-M381</f>
        <v>114.52750000000002</v>
      </c>
      <c r="O381" s="22">
        <f>6.2*4+3*2+8.3*2</f>
        <v>47.400000000000006</v>
      </c>
      <c r="P381" s="22">
        <f>O381*3.35</f>
        <v>158.79000000000002</v>
      </c>
      <c r="Q381" s="22">
        <f>P381-K379</f>
        <v>115.68000000000002</v>
      </c>
    </row>
    <row r="382" spans="1:19" ht="12.75" customHeight="1" x14ac:dyDescent="0.2">
      <c r="A382" s="254"/>
      <c r="B382" s="256"/>
      <c r="C382" s="229"/>
      <c r="D382" s="230"/>
      <c r="E382" s="231"/>
      <c r="F382" s="232"/>
      <c r="G382" s="92"/>
      <c r="I382" s="22">
        <f>J381+N381+Q381</f>
        <v>397.03750000000002</v>
      </c>
      <c r="K382" s="22">
        <f>I382*103%</f>
        <v>408.94862500000005</v>
      </c>
    </row>
    <row r="383" spans="1:19" x14ac:dyDescent="0.2">
      <c r="A383" s="218" t="s">
        <v>57</v>
      </c>
      <c r="B383" s="259" t="s">
        <v>69</v>
      </c>
      <c r="C383" s="220"/>
      <c r="D383" s="221"/>
      <c r="E383" s="222"/>
      <c r="F383" s="223"/>
      <c r="G383" s="224"/>
    </row>
    <row r="384" spans="1:19" x14ac:dyDescent="0.2">
      <c r="A384" s="227" t="s">
        <v>176</v>
      </c>
      <c r="B384" s="260" t="s">
        <v>264</v>
      </c>
      <c r="C384" s="229"/>
      <c r="D384" s="230"/>
      <c r="E384" s="231"/>
      <c r="F384" s="264"/>
      <c r="G384" s="92">
        <f t="shared" ref="G384:G387" si="59">(D384*E384)+(D384*F384)</f>
        <v>0</v>
      </c>
    </row>
    <row r="385" spans="1:17" ht="13.5" x14ac:dyDescent="0.2">
      <c r="A385" s="225"/>
      <c r="B385" s="261" t="s">
        <v>147</v>
      </c>
      <c r="C385" s="96" t="s">
        <v>151</v>
      </c>
      <c r="D385" s="184">
        <v>254.02</v>
      </c>
      <c r="E385" s="185"/>
      <c r="F385" s="91"/>
      <c r="G385" s="92">
        <f t="shared" si="59"/>
        <v>0</v>
      </c>
      <c r="I385" s="22">
        <f>19.4*2+8.7*2</f>
        <v>56.199999999999996</v>
      </c>
      <c r="J385" s="22">
        <f>I385*3.5</f>
        <v>196.7</v>
      </c>
      <c r="K385" s="22">
        <v>44.7</v>
      </c>
      <c r="L385" s="22">
        <f>J385-K385</f>
        <v>152</v>
      </c>
      <c r="M385" s="22">
        <f>1.05*8*2</f>
        <v>16.8</v>
      </c>
      <c r="N385" s="22">
        <f>23.4*1.8</f>
        <v>42.12</v>
      </c>
      <c r="O385" s="22">
        <f>23.4*1.1</f>
        <v>25.740000000000002</v>
      </c>
      <c r="P385" s="22">
        <f>0.8*3.1*7</f>
        <v>17.360000000000003</v>
      </c>
      <c r="Q385" s="22">
        <f>SUM(L385:P385)</f>
        <v>254.02000000000004</v>
      </c>
    </row>
    <row r="386" spans="1:17" x14ac:dyDescent="0.2">
      <c r="A386" s="254" t="s">
        <v>177</v>
      </c>
      <c r="B386" s="256" t="s">
        <v>265</v>
      </c>
      <c r="C386" s="229"/>
      <c r="D386" s="230"/>
      <c r="E386" s="231"/>
      <c r="F386" s="232"/>
      <c r="G386" s="92">
        <f t="shared" si="59"/>
        <v>0</v>
      </c>
    </row>
    <row r="387" spans="1:17" ht="24" x14ac:dyDescent="0.2">
      <c r="A387" s="225"/>
      <c r="B387" s="226" t="s">
        <v>266</v>
      </c>
      <c r="C387" s="96" t="s">
        <v>151</v>
      </c>
      <c r="D387" s="184">
        <v>441.65</v>
      </c>
      <c r="E387" s="185"/>
      <c r="F387" s="91"/>
      <c r="G387" s="92">
        <f t="shared" si="59"/>
        <v>0</v>
      </c>
      <c r="I387" s="22">
        <f>8.3*3+3</f>
        <v>27.900000000000002</v>
      </c>
      <c r="J387" s="22">
        <f>I387*3.5*2</f>
        <v>195.3</v>
      </c>
      <c r="K387" s="22">
        <f>K350</f>
        <v>2.6884999999999999</v>
      </c>
      <c r="L387" s="22">
        <f>J387-K387</f>
        <v>192.61150000000001</v>
      </c>
      <c r="M387" s="22">
        <f>L387+L388</f>
        <v>297.05900000000003</v>
      </c>
      <c r="N387" s="22">
        <f>6.2*4+3*3+8.3*2</f>
        <v>50.4</v>
      </c>
      <c r="O387" s="22">
        <f>N387*3.5</f>
        <v>176.4</v>
      </c>
      <c r="P387" s="33">
        <f>O387-K385</f>
        <v>131.69999999999999</v>
      </c>
      <c r="Q387" s="54"/>
    </row>
    <row r="388" spans="1:17" x14ac:dyDescent="0.2">
      <c r="A388" s="225"/>
      <c r="B388" s="226"/>
      <c r="C388" s="96"/>
      <c r="D388" s="184"/>
      <c r="E388" s="185"/>
      <c r="F388" s="91"/>
      <c r="G388" s="92"/>
      <c r="I388" s="22">
        <f>2.75+3.475+2.45+1.65*3+1.5*8+1*6</f>
        <v>31.625</v>
      </c>
      <c r="J388" s="22">
        <f>I388*3.5</f>
        <v>110.6875</v>
      </c>
      <c r="K388" s="22">
        <f>2*0.78*4</f>
        <v>6.24</v>
      </c>
      <c r="L388" s="22">
        <f>J388-K388</f>
        <v>104.44750000000001</v>
      </c>
      <c r="M388" s="54">
        <f>M387+P387</f>
        <v>428.75900000000001</v>
      </c>
      <c r="N388" s="54">
        <f>M388*103%</f>
        <v>441.62177000000003</v>
      </c>
      <c r="O388" s="33"/>
      <c r="P388" s="33"/>
    </row>
    <row r="389" spans="1:17" x14ac:dyDescent="0.2">
      <c r="A389" s="218" t="s">
        <v>162</v>
      </c>
      <c r="B389" s="259" t="s">
        <v>282</v>
      </c>
      <c r="C389" s="220"/>
      <c r="D389" s="221"/>
      <c r="E389" s="222"/>
      <c r="F389" s="223"/>
      <c r="G389" s="224"/>
      <c r="K389" s="33"/>
    </row>
    <row r="390" spans="1:17" x14ac:dyDescent="0.2">
      <c r="A390" s="227" t="s">
        <v>176</v>
      </c>
      <c r="B390" s="260" t="s">
        <v>264</v>
      </c>
      <c r="C390" s="229"/>
      <c r="D390" s="230"/>
      <c r="E390" s="231"/>
      <c r="F390" s="264"/>
      <c r="G390" s="92">
        <f t="shared" ref="G390:G393" si="60">(D390*E390)+(D390*F390)</f>
        <v>0</v>
      </c>
      <c r="K390" s="33"/>
    </row>
    <row r="391" spans="1:17" ht="13.5" x14ac:dyDescent="0.2">
      <c r="A391" s="225"/>
      <c r="B391" s="261" t="s">
        <v>147</v>
      </c>
      <c r="C391" s="96" t="s">
        <v>151</v>
      </c>
      <c r="D391" s="184">
        <f>D355</f>
        <v>23.1</v>
      </c>
      <c r="E391" s="185"/>
      <c r="F391" s="91"/>
      <c r="G391" s="92">
        <f t="shared" si="60"/>
        <v>0</v>
      </c>
      <c r="K391" s="33"/>
      <c r="L391" s="33"/>
      <c r="O391" s="33"/>
    </row>
    <row r="392" spans="1:17" x14ac:dyDescent="0.2">
      <c r="A392" s="254" t="s">
        <v>177</v>
      </c>
      <c r="B392" s="256" t="s">
        <v>265</v>
      </c>
      <c r="C392" s="229"/>
      <c r="D392" s="230"/>
      <c r="E392" s="231"/>
      <c r="F392" s="232"/>
      <c r="G392" s="92">
        <f t="shared" si="60"/>
        <v>0</v>
      </c>
      <c r="K392" s="33"/>
    </row>
    <row r="393" spans="1:17" ht="13.5" x14ac:dyDescent="0.2">
      <c r="A393" s="225"/>
      <c r="B393" s="226" t="s">
        <v>338</v>
      </c>
      <c r="C393" s="96" t="s">
        <v>151</v>
      </c>
      <c r="D393" s="184">
        <f>D355</f>
        <v>23.1</v>
      </c>
      <c r="E393" s="185"/>
      <c r="F393" s="91"/>
      <c r="G393" s="92">
        <f t="shared" si="60"/>
        <v>0</v>
      </c>
      <c r="K393" s="22">
        <f>1.69*2.45*6</f>
        <v>24.843000000000004</v>
      </c>
      <c r="L393" s="33">
        <f>0.95*2.83*6</f>
        <v>16.131</v>
      </c>
      <c r="M393" s="33">
        <f>1.575*2*6</f>
        <v>18.899999999999999</v>
      </c>
      <c r="N393" s="33">
        <f>1.24*1.69</f>
        <v>2.0956000000000001</v>
      </c>
      <c r="O393" s="22">
        <f>0.7*0.55*2</f>
        <v>0.77</v>
      </c>
      <c r="P393" s="22">
        <f>SUM(K393:O393)</f>
        <v>62.739600000000003</v>
      </c>
    </row>
    <row r="394" spans="1:17" x14ac:dyDescent="0.2">
      <c r="A394" s="225"/>
      <c r="B394" s="226"/>
      <c r="C394" s="96"/>
      <c r="D394" s="184"/>
      <c r="E394" s="185"/>
      <c r="F394" s="91"/>
      <c r="G394" s="92"/>
      <c r="L394" s="33"/>
      <c r="M394" s="33"/>
      <c r="N394" s="33"/>
    </row>
    <row r="395" spans="1:17" x14ac:dyDescent="0.2">
      <c r="A395" s="254"/>
      <c r="B395" s="256"/>
      <c r="C395" s="96"/>
      <c r="D395" s="184"/>
      <c r="E395" s="185"/>
      <c r="F395" s="91"/>
      <c r="G395" s="92"/>
    </row>
    <row r="396" spans="1:17" x14ac:dyDescent="0.2">
      <c r="A396" s="254"/>
      <c r="B396" s="256"/>
      <c r="C396" s="96"/>
      <c r="D396" s="184"/>
      <c r="E396" s="185"/>
      <c r="F396" s="91"/>
      <c r="G396" s="92"/>
    </row>
    <row r="397" spans="1:17" x14ac:dyDescent="0.2">
      <c r="A397" s="254"/>
      <c r="B397" s="256"/>
      <c r="C397" s="96"/>
      <c r="D397" s="184"/>
      <c r="E397" s="185"/>
      <c r="F397" s="91"/>
      <c r="G397" s="92"/>
    </row>
    <row r="398" spans="1:17" x14ac:dyDescent="0.2">
      <c r="A398" s="254"/>
      <c r="B398" s="256"/>
      <c r="C398" s="96"/>
      <c r="D398" s="184"/>
      <c r="E398" s="185"/>
      <c r="F398" s="91"/>
      <c r="G398" s="92"/>
    </row>
    <row r="399" spans="1:17" x14ac:dyDescent="0.2">
      <c r="A399" s="254"/>
      <c r="B399" s="256"/>
      <c r="C399" s="96"/>
      <c r="D399" s="184"/>
      <c r="E399" s="185"/>
      <c r="F399" s="91"/>
      <c r="G399" s="92"/>
    </row>
    <row r="400" spans="1:17" x14ac:dyDescent="0.2">
      <c r="A400" s="254"/>
      <c r="B400" s="256"/>
      <c r="C400" s="96"/>
      <c r="D400" s="184"/>
      <c r="E400" s="185"/>
      <c r="F400" s="91"/>
      <c r="G400" s="92"/>
    </row>
    <row r="401" spans="1:7" x14ac:dyDescent="0.2">
      <c r="A401" s="254"/>
      <c r="B401" s="256"/>
      <c r="C401" s="96"/>
      <c r="D401" s="184"/>
      <c r="E401" s="185"/>
      <c r="F401" s="91"/>
      <c r="G401" s="92"/>
    </row>
    <row r="402" spans="1:7" x14ac:dyDescent="0.2">
      <c r="A402" s="254"/>
      <c r="B402" s="256"/>
      <c r="C402" s="96"/>
      <c r="D402" s="184"/>
      <c r="E402" s="185"/>
      <c r="F402" s="91"/>
      <c r="G402" s="92"/>
    </row>
    <row r="403" spans="1:7" x14ac:dyDescent="0.2">
      <c r="A403" s="254"/>
      <c r="B403" s="256"/>
      <c r="C403" s="96"/>
      <c r="D403" s="184"/>
      <c r="E403" s="185"/>
      <c r="F403" s="91"/>
      <c r="G403" s="92"/>
    </row>
    <row r="404" spans="1:7" x14ac:dyDescent="0.2">
      <c r="A404" s="254"/>
      <c r="B404" s="256"/>
      <c r="C404" s="96"/>
      <c r="D404" s="184"/>
      <c r="E404" s="185"/>
      <c r="F404" s="91"/>
      <c r="G404" s="92"/>
    </row>
    <row r="405" spans="1:7" x14ac:dyDescent="0.2">
      <c r="A405" s="254"/>
      <c r="B405" s="256"/>
      <c r="C405" s="96"/>
      <c r="D405" s="184"/>
      <c r="E405" s="185"/>
      <c r="F405" s="91"/>
      <c r="G405" s="92"/>
    </row>
    <row r="406" spans="1:7" x14ac:dyDescent="0.2">
      <c r="A406" s="254"/>
      <c r="B406" s="256"/>
      <c r="C406" s="96"/>
      <c r="D406" s="184"/>
      <c r="E406" s="185"/>
      <c r="F406" s="91"/>
      <c r="G406" s="92"/>
    </row>
    <row r="407" spans="1:7" ht="12.75" thickBot="1" x14ac:dyDescent="0.25">
      <c r="A407" s="254"/>
      <c r="B407" s="256"/>
      <c r="C407" s="96"/>
      <c r="D407" s="184"/>
      <c r="E407" s="185"/>
      <c r="F407" s="91"/>
      <c r="G407" s="92"/>
    </row>
    <row r="408" spans="1:7" x14ac:dyDescent="0.2">
      <c r="A408" s="137"/>
      <c r="B408" s="147" t="s">
        <v>158</v>
      </c>
      <c r="C408" s="148"/>
      <c r="D408" s="149"/>
      <c r="E408" s="150"/>
      <c r="F408" s="151"/>
      <c r="G408" s="386"/>
    </row>
    <row r="409" spans="1:7" ht="12.75" thickBot="1" x14ac:dyDescent="0.25">
      <c r="A409" s="362"/>
      <c r="B409" s="356" t="s">
        <v>214</v>
      </c>
      <c r="C409" s="368"/>
      <c r="D409" s="364"/>
      <c r="E409" s="365"/>
      <c r="F409" s="358"/>
      <c r="G409" s="360">
        <f>SUM(G335:G388)</f>
        <v>0</v>
      </c>
    </row>
    <row r="410" spans="1:7" x14ac:dyDescent="0.2">
      <c r="A410" s="98"/>
      <c r="B410" s="179"/>
      <c r="C410" s="100"/>
      <c r="D410" s="101"/>
      <c r="E410" s="90"/>
      <c r="F410" s="91"/>
      <c r="G410" s="233"/>
    </row>
    <row r="411" spans="1:7" x14ac:dyDescent="0.2">
      <c r="A411" s="265"/>
      <c r="B411" s="266" t="s">
        <v>107</v>
      </c>
      <c r="C411" s="267"/>
      <c r="D411" s="164"/>
      <c r="E411" s="118"/>
      <c r="F411" s="91"/>
      <c r="G411" s="92"/>
    </row>
    <row r="412" spans="1:7" x14ac:dyDescent="0.2">
      <c r="A412" s="265"/>
      <c r="B412" s="268" t="s">
        <v>108</v>
      </c>
      <c r="C412" s="267"/>
      <c r="D412" s="164"/>
      <c r="E412" s="118"/>
      <c r="F412" s="91"/>
      <c r="G412" s="92"/>
    </row>
    <row r="413" spans="1:7" x14ac:dyDescent="0.2">
      <c r="A413" s="257" t="s">
        <v>109</v>
      </c>
      <c r="B413" s="166" t="s">
        <v>41</v>
      </c>
      <c r="C413" s="163"/>
      <c r="D413" s="164"/>
      <c r="E413" s="90"/>
      <c r="F413" s="91"/>
      <c r="G413" s="92"/>
    </row>
    <row r="414" spans="1:7" ht="49.5" customHeight="1" x14ac:dyDescent="0.2">
      <c r="A414" s="257"/>
      <c r="B414" s="131" t="s">
        <v>148</v>
      </c>
      <c r="C414" s="131"/>
      <c r="D414" s="131"/>
      <c r="E414" s="131"/>
      <c r="F414" s="131"/>
      <c r="G414" s="237"/>
    </row>
    <row r="415" spans="1:7" x14ac:dyDescent="0.2">
      <c r="A415" s="269" t="s">
        <v>153</v>
      </c>
      <c r="B415" s="270" t="s">
        <v>219</v>
      </c>
      <c r="C415" s="271"/>
      <c r="D415" s="272"/>
      <c r="E415" s="83"/>
      <c r="F415" s="84"/>
      <c r="G415" s="85"/>
    </row>
    <row r="416" spans="1:7" ht="12.75" x14ac:dyDescent="0.2">
      <c r="A416" s="273"/>
      <c r="B416" s="274" t="s">
        <v>232</v>
      </c>
      <c r="C416" s="71"/>
      <c r="D416" s="72"/>
      <c r="E416" s="118"/>
      <c r="F416" s="74"/>
      <c r="G416" s="75"/>
    </row>
    <row r="417" spans="1:14" ht="12.75" x14ac:dyDescent="0.2">
      <c r="A417" s="275" t="s">
        <v>160</v>
      </c>
      <c r="B417" s="276" t="s">
        <v>67</v>
      </c>
      <c r="C417" s="277"/>
      <c r="D417" s="278"/>
      <c r="E417" s="241"/>
      <c r="F417" s="242"/>
      <c r="G417" s="243">
        <f t="shared" ref="G417:G422" si="61">(D417*E417)+(D417*F417)</f>
        <v>0</v>
      </c>
    </row>
    <row r="418" spans="1:14" ht="15.75" x14ac:dyDescent="0.2">
      <c r="A418" s="273"/>
      <c r="B418" s="76" t="s">
        <v>339</v>
      </c>
      <c r="C418" s="71" t="s">
        <v>233</v>
      </c>
      <c r="D418" s="72">
        <v>102.92</v>
      </c>
      <c r="E418" s="73"/>
      <c r="F418" s="74"/>
      <c r="G418" s="75">
        <f t="shared" si="61"/>
        <v>0</v>
      </c>
      <c r="I418" s="22">
        <f>51.46*2</f>
        <v>102.92</v>
      </c>
    </row>
    <row r="419" spans="1:14" ht="15.75" x14ac:dyDescent="0.2">
      <c r="A419" s="273"/>
      <c r="B419" s="76" t="s">
        <v>462</v>
      </c>
      <c r="C419" s="71" t="s">
        <v>233</v>
      </c>
      <c r="D419" s="72">
        <v>53.84</v>
      </c>
      <c r="E419" s="73"/>
      <c r="F419" s="74"/>
      <c r="G419" s="75">
        <f t="shared" si="61"/>
        <v>0</v>
      </c>
      <c r="I419" s="22">
        <f>19.4*2.025</f>
        <v>39.284999999999997</v>
      </c>
      <c r="J419" s="22">
        <f>8.5*1.35</f>
        <v>11.475000000000001</v>
      </c>
      <c r="K419" s="22">
        <f>1.5*1.65</f>
        <v>2.4749999999999996</v>
      </c>
      <c r="L419" s="22">
        <f>3*0.2</f>
        <v>0.60000000000000009</v>
      </c>
      <c r="M419" s="22">
        <f>SUM(I419:L419)</f>
        <v>53.835000000000001</v>
      </c>
    </row>
    <row r="420" spans="1:14" ht="15.75" x14ac:dyDescent="0.2">
      <c r="A420" s="273"/>
      <c r="B420" s="76" t="s">
        <v>469</v>
      </c>
      <c r="C420" s="71" t="s">
        <v>233</v>
      </c>
      <c r="D420" s="72">
        <v>3.55</v>
      </c>
      <c r="E420" s="73"/>
      <c r="F420" s="74"/>
      <c r="G420" s="75">
        <f t="shared" ref="G420" si="62">(D420*E420)+(D420*F420)</f>
        <v>0</v>
      </c>
      <c r="I420" s="22">
        <f>2.475*1.5</f>
        <v>3.7125000000000004</v>
      </c>
      <c r="J420" s="22">
        <f>0.55*0.35</f>
        <v>0.1925</v>
      </c>
      <c r="K420" s="22">
        <f>I420-J420</f>
        <v>3.5200000000000005</v>
      </c>
    </row>
    <row r="421" spans="1:14" ht="15.75" x14ac:dyDescent="0.2">
      <c r="A421" s="273"/>
      <c r="B421" s="76" t="s">
        <v>465</v>
      </c>
      <c r="C421" s="71" t="s">
        <v>233</v>
      </c>
      <c r="D421" s="72">
        <v>23.9</v>
      </c>
      <c r="E421" s="73"/>
      <c r="F421" s="74"/>
      <c r="G421" s="75">
        <f t="shared" si="61"/>
        <v>0</v>
      </c>
      <c r="I421" s="54">
        <f>7.825*3.05</f>
        <v>23.866250000000001</v>
      </c>
    </row>
    <row r="422" spans="1:14" ht="15.75" x14ac:dyDescent="0.2">
      <c r="A422" s="273"/>
      <c r="B422" s="76" t="s">
        <v>340</v>
      </c>
      <c r="C422" s="71" t="s">
        <v>233</v>
      </c>
      <c r="D422" s="72">
        <v>20.8</v>
      </c>
      <c r="E422" s="73"/>
      <c r="F422" s="74"/>
      <c r="G422" s="75">
        <f t="shared" si="61"/>
        <v>0</v>
      </c>
      <c r="I422" s="33">
        <f>4.12*3</f>
        <v>12.36</v>
      </c>
      <c r="J422" s="22">
        <f>2.15*1.5</f>
        <v>3.2249999999999996</v>
      </c>
      <c r="K422" s="33">
        <f>1.5*0.15*23</f>
        <v>5.1749999999999998</v>
      </c>
      <c r="L422" s="33">
        <f>SUM(I422:K422)</f>
        <v>20.759999999999998</v>
      </c>
    </row>
    <row r="423" spans="1:14" ht="15.75" x14ac:dyDescent="0.2">
      <c r="A423" s="273"/>
      <c r="B423" s="76" t="s">
        <v>341</v>
      </c>
      <c r="C423" s="71" t="s">
        <v>233</v>
      </c>
      <c r="D423" s="72">
        <v>13.1</v>
      </c>
      <c r="E423" s="73"/>
      <c r="F423" s="74"/>
      <c r="G423" s="75">
        <f t="shared" ref="G423" si="63">(D423*E423)+(D423*F423)</f>
        <v>0</v>
      </c>
      <c r="I423" s="33">
        <f>19.4*0.675</f>
        <v>13.095000000000001</v>
      </c>
      <c r="K423" s="33"/>
    </row>
    <row r="424" spans="1:14" ht="15.75" x14ac:dyDescent="0.2">
      <c r="A424" s="273"/>
      <c r="B424" s="76" t="s">
        <v>463</v>
      </c>
      <c r="C424" s="71" t="s">
        <v>233</v>
      </c>
      <c r="D424" s="72">
        <v>4.5</v>
      </c>
      <c r="E424" s="73"/>
      <c r="F424" s="74"/>
      <c r="G424" s="75">
        <f t="shared" ref="G424" si="64">(D424*E424)+(D424*F424)</f>
        <v>0</v>
      </c>
      <c r="I424" s="33">
        <f>1.5*1*3</f>
        <v>4.5</v>
      </c>
    </row>
    <row r="425" spans="1:14" ht="12.75" x14ac:dyDescent="0.2">
      <c r="A425" s="273"/>
      <c r="B425" s="76"/>
      <c r="C425" s="71"/>
      <c r="D425" s="72"/>
      <c r="E425" s="73"/>
      <c r="F425" s="74"/>
      <c r="G425" s="75"/>
      <c r="I425" s="33"/>
    </row>
    <row r="426" spans="1:14" ht="12.75" x14ac:dyDescent="0.2">
      <c r="A426" s="275" t="s">
        <v>161</v>
      </c>
      <c r="B426" s="276" t="s">
        <v>69</v>
      </c>
      <c r="C426" s="277"/>
      <c r="D426" s="278"/>
      <c r="E426" s="241"/>
      <c r="F426" s="242"/>
      <c r="G426" s="243">
        <f t="shared" ref="G426:G429" si="65">(D426*E426)+(D426*F426)</f>
        <v>0</v>
      </c>
    </row>
    <row r="427" spans="1:14" ht="15.75" x14ac:dyDescent="0.2">
      <c r="A427" s="273"/>
      <c r="B427" s="76" t="s">
        <v>339</v>
      </c>
      <c r="C427" s="71" t="s">
        <v>233</v>
      </c>
      <c r="D427" s="72">
        <f>D418</f>
        <v>102.92</v>
      </c>
      <c r="E427" s="73"/>
      <c r="F427" s="74"/>
      <c r="G427" s="75">
        <f t="shared" si="65"/>
        <v>0</v>
      </c>
      <c r="I427" s="22">
        <f>51.46*2</f>
        <v>102.92</v>
      </c>
      <c r="L427" s="22">
        <f>SUM(I427:K427)</f>
        <v>102.92</v>
      </c>
    </row>
    <row r="428" spans="1:14" ht="15.75" x14ac:dyDescent="0.2">
      <c r="A428" s="273"/>
      <c r="B428" s="76" t="s">
        <v>464</v>
      </c>
      <c r="C428" s="71" t="s">
        <v>233</v>
      </c>
      <c r="D428" s="72">
        <v>12.25</v>
      </c>
      <c r="E428" s="73"/>
      <c r="F428" s="74"/>
      <c r="G428" s="75">
        <f t="shared" si="65"/>
        <v>0</v>
      </c>
      <c r="I428" s="33">
        <f>4.045*3.025</f>
        <v>12.236124999999999</v>
      </c>
      <c r="K428" s="33"/>
    </row>
    <row r="429" spans="1:14" ht="15.75" x14ac:dyDescent="0.2">
      <c r="A429" s="273"/>
      <c r="B429" s="76" t="s">
        <v>469</v>
      </c>
      <c r="C429" s="71" t="s">
        <v>233</v>
      </c>
      <c r="D429" s="72">
        <v>3.55</v>
      </c>
      <c r="E429" s="73"/>
      <c r="F429" s="74"/>
      <c r="G429" s="75">
        <f t="shared" si="65"/>
        <v>0</v>
      </c>
      <c r="I429" s="22">
        <f>2.475*1.5</f>
        <v>3.7125000000000004</v>
      </c>
      <c r="J429" s="22">
        <f>0.55*0.35</f>
        <v>0.1925</v>
      </c>
      <c r="K429" s="22">
        <f>I429-J429</f>
        <v>3.5200000000000005</v>
      </c>
    </row>
    <row r="430" spans="1:14" ht="15.75" x14ac:dyDescent="0.2">
      <c r="A430" s="273"/>
      <c r="B430" s="76" t="s">
        <v>462</v>
      </c>
      <c r="C430" s="71" t="s">
        <v>233</v>
      </c>
      <c r="D430" s="72">
        <v>53.05</v>
      </c>
      <c r="E430" s="73"/>
      <c r="F430" s="74"/>
      <c r="G430" s="75">
        <f t="shared" ref="G430" si="66">(D430*E430)+(D430*F430)</f>
        <v>0</v>
      </c>
      <c r="I430" s="22">
        <f>19.4*1.9</f>
        <v>36.859999999999992</v>
      </c>
      <c r="J430" s="22">
        <f>8.5*1.35</f>
        <v>11.475000000000001</v>
      </c>
      <c r="K430" s="33">
        <f>1.65*0.8</f>
        <v>1.32</v>
      </c>
      <c r="L430" s="22">
        <f>1.65*1.5</f>
        <v>2.4749999999999996</v>
      </c>
      <c r="M430" s="22">
        <f>3*0.3</f>
        <v>0.89999999999999991</v>
      </c>
      <c r="N430" s="22">
        <f>SUM(I430:M430)</f>
        <v>53.029999999999994</v>
      </c>
    </row>
    <row r="431" spans="1:14" ht="15.75" x14ac:dyDescent="0.2">
      <c r="A431" s="273"/>
      <c r="B431" s="76" t="s">
        <v>496</v>
      </c>
      <c r="C431" s="71" t="s">
        <v>233</v>
      </c>
      <c r="D431" s="72">
        <v>4.5</v>
      </c>
      <c r="E431" s="73"/>
      <c r="F431" s="74"/>
      <c r="G431" s="75">
        <f>(D431*E431)+(D431*F431)</f>
        <v>0</v>
      </c>
    </row>
    <row r="432" spans="1:14" ht="12.75" x14ac:dyDescent="0.2">
      <c r="A432" s="273"/>
      <c r="B432" s="76"/>
      <c r="C432" s="71"/>
      <c r="D432" s="72"/>
      <c r="E432" s="73"/>
      <c r="F432" s="74"/>
      <c r="G432" s="75"/>
    </row>
    <row r="433" spans="1:18" x14ac:dyDescent="0.2">
      <c r="A433" s="269" t="s">
        <v>154</v>
      </c>
      <c r="B433" s="270" t="s">
        <v>155</v>
      </c>
      <c r="C433" s="81"/>
      <c r="D433" s="279"/>
      <c r="E433" s="83"/>
      <c r="F433" s="84"/>
      <c r="G433" s="85"/>
    </row>
    <row r="434" spans="1:18" ht="39.75" customHeight="1" x14ac:dyDescent="0.2">
      <c r="A434" s="257"/>
      <c r="B434" s="131" t="s">
        <v>251</v>
      </c>
      <c r="C434" s="131"/>
      <c r="D434" s="131"/>
      <c r="E434" s="131"/>
      <c r="F434" s="131"/>
      <c r="G434" s="237"/>
    </row>
    <row r="435" spans="1:18" ht="27.75" customHeight="1" x14ac:dyDescent="0.2">
      <c r="A435" s="280"/>
      <c r="B435" s="131" t="s">
        <v>252</v>
      </c>
      <c r="C435" s="131"/>
      <c r="D435" s="131"/>
      <c r="E435" s="131"/>
      <c r="F435" s="131"/>
      <c r="G435" s="237"/>
    </row>
    <row r="436" spans="1:18" ht="39" customHeight="1" x14ac:dyDescent="0.2">
      <c r="A436" s="280"/>
      <c r="B436" s="131" t="s">
        <v>503</v>
      </c>
      <c r="C436" s="131"/>
      <c r="D436" s="131"/>
      <c r="E436" s="131"/>
      <c r="F436" s="131"/>
      <c r="G436" s="237"/>
    </row>
    <row r="437" spans="1:18" ht="51" customHeight="1" x14ac:dyDescent="0.2">
      <c r="A437" s="280"/>
      <c r="B437" s="131" t="s">
        <v>343</v>
      </c>
      <c r="C437" s="131"/>
      <c r="D437" s="131"/>
      <c r="E437" s="131"/>
      <c r="F437" s="131"/>
      <c r="G437" s="237"/>
    </row>
    <row r="438" spans="1:18" ht="12" customHeight="1" x14ac:dyDescent="0.2">
      <c r="A438" s="280"/>
      <c r="B438" s="131"/>
      <c r="C438" s="131"/>
      <c r="D438" s="131"/>
      <c r="E438" s="131"/>
      <c r="F438" s="131"/>
      <c r="G438" s="237"/>
    </row>
    <row r="439" spans="1:18" ht="12.75" x14ac:dyDescent="0.2">
      <c r="A439" s="275" t="s">
        <v>160</v>
      </c>
      <c r="B439" s="276" t="s">
        <v>67</v>
      </c>
      <c r="C439" s="277"/>
      <c r="D439" s="278"/>
      <c r="E439" s="281"/>
      <c r="F439" s="242"/>
      <c r="G439" s="243"/>
    </row>
    <row r="440" spans="1:18" ht="12.75" x14ac:dyDescent="0.2">
      <c r="A440" s="273" t="s">
        <v>253</v>
      </c>
      <c r="B440" s="70" t="s">
        <v>248</v>
      </c>
      <c r="C440" s="71"/>
      <c r="D440" s="72"/>
      <c r="E440" s="73"/>
      <c r="F440" s="74"/>
      <c r="G440" s="75"/>
      <c r="I440" s="53"/>
      <c r="J440" s="29"/>
      <c r="K440" s="27"/>
    </row>
    <row r="441" spans="1:18" ht="12.75" x14ac:dyDescent="0.2">
      <c r="A441" s="273" t="s">
        <v>176</v>
      </c>
      <c r="B441" s="70" t="s">
        <v>504</v>
      </c>
      <c r="C441" s="71"/>
      <c r="D441" s="72"/>
      <c r="E441" s="73"/>
      <c r="F441" s="74"/>
      <c r="G441" s="75"/>
      <c r="I441" s="62"/>
      <c r="J441" s="29"/>
      <c r="K441" s="27"/>
    </row>
    <row r="442" spans="1:18" ht="15.75" x14ac:dyDescent="0.2">
      <c r="A442" s="273"/>
      <c r="B442" s="76" t="s">
        <v>339</v>
      </c>
      <c r="C442" s="71" t="s">
        <v>233</v>
      </c>
      <c r="D442" s="72">
        <f>D418</f>
        <v>102.92</v>
      </c>
      <c r="E442" s="73"/>
      <c r="F442" s="74"/>
      <c r="G442" s="75">
        <f t="shared" ref="G442:G443" si="67">(D442*E442)+(D442*F442)</f>
        <v>0</v>
      </c>
      <c r="I442" s="53"/>
      <c r="J442" s="29"/>
      <c r="K442" s="27"/>
    </row>
    <row r="443" spans="1:18" ht="15.75" x14ac:dyDescent="0.2">
      <c r="A443" s="273"/>
      <c r="B443" s="76" t="s">
        <v>469</v>
      </c>
      <c r="C443" s="71" t="s">
        <v>233</v>
      </c>
      <c r="D443" s="72">
        <v>3.55</v>
      </c>
      <c r="E443" s="73"/>
      <c r="F443" s="74"/>
      <c r="G443" s="75">
        <f t="shared" si="67"/>
        <v>0</v>
      </c>
      <c r="I443" s="62"/>
      <c r="J443" s="29"/>
      <c r="K443" s="27"/>
    </row>
    <row r="444" spans="1:18" ht="15.75" x14ac:dyDescent="0.2">
      <c r="A444" s="273"/>
      <c r="B444" s="76" t="s">
        <v>465</v>
      </c>
      <c r="C444" s="71" t="s">
        <v>233</v>
      </c>
      <c r="D444" s="72">
        <f>D421</f>
        <v>23.9</v>
      </c>
      <c r="E444" s="73"/>
      <c r="F444" s="74"/>
      <c r="G444" s="75">
        <f t="shared" ref="G444" si="68">(D444*E444)+(D444*F444)</f>
        <v>0</v>
      </c>
      <c r="I444" s="62"/>
      <c r="J444" s="29"/>
      <c r="K444" s="27"/>
    </row>
    <row r="445" spans="1:18" ht="12.75" x14ac:dyDescent="0.2">
      <c r="A445" s="273" t="s">
        <v>177</v>
      </c>
      <c r="B445" s="70" t="s">
        <v>505</v>
      </c>
      <c r="C445" s="71"/>
      <c r="D445" s="72"/>
      <c r="E445" s="73"/>
      <c r="F445" s="74"/>
      <c r="G445" s="75"/>
      <c r="I445" s="62"/>
      <c r="J445" s="29"/>
      <c r="K445" s="27"/>
    </row>
    <row r="446" spans="1:18" ht="15.75" x14ac:dyDescent="0.2">
      <c r="A446" s="273"/>
      <c r="B446" s="76" t="s">
        <v>462</v>
      </c>
      <c r="C446" s="71" t="s">
        <v>233</v>
      </c>
      <c r="D446" s="72">
        <f>D419</f>
        <v>53.84</v>
      </c>
      <c r="E446" s="73"/>
      <c r="F446" s="74"/>
      <c r="G446" s="75">
        <f t="shared" ref="G446" si="69">(D446*E446)+(D446*F446)</f>
        <v>0</v>
      </c>
      <c r="I446" s="53"/>
      <c r="J446" s="29"/>
      <c r="K446" s="27"/>
      <c r="M446" s="54"/>
      <c r="O446" s="54"/>
      <c r="Q446" s="54"/>
      <c r="R446" s="54"/>
    </row>
    <row r="447" spans="1:18" ht="12.75" x14ac:dyDescent="0.2">
      <c r="A447" s="273" t="s">
        <v>190</v>
      </c>
      <c r="B447" s="70" t="s">
        <v>506</v>
      </c>
      <c r="C447" s="71"/>
      <c r="D447" s="72"/>
      <c r="E447" s="73"/>
      <c r="F447" s="74"/>
      <c r="G447" s="75"/>
    </row>
    <row r="448" spans="1:18" ht="15.75" x14ac:dyDescent="0.2">
      <c r="A448" s="273"/>
      <c r="B448" s="76" t="s">
        <v>277</v>
      </c>
      <c r="C448" s="71" t="s">
        <v>233</v>
      </c>
      <c r="D448" s="72">
        <f>D422</f>
        <v>20.8</v>
      </c>
      <c r="E448" s="73"/>
      <c r="F448" s="74"/>
      <c r="G448" s="75">
        <f t="shared" ref="G448" si="70">(D448*E448)+(D448*F448)</f>
        <v>0</v>
      </c>
    </row>
    <row r="449" spans="1:18" ht="16.5" thickBot="1" x14ac:dyDescent="0.25">
      <c r="A449" s="388"/>
      <c r="B449" s="389" t="s">
        <v>341</v>
      </c>
      <c r="C449" s="390" t="s">
        <v>233</v>
      </c>
      <c r="D449" s="391">
        <f>D423</f>
        <v>13.1</v>
      </c>
      <c r="E449" s="378"/>
      <c r="F449" s="379"/>
      <c r="G449" s="392">
        <f t="shared" ref="G449" si="71">(D449*E449)+(D449*F449)</f>
        <v>0</v>
      </c>
    </row>
    <row r="450" spans="1:18" ht="12.75" x14ac:dyDescent="0.2">
      <c r="A450" s="273" t="s">
        <v>191</v>
      </c>
      <c r="B450" s="70" t="s">
        <v>269</v>
      </c>
      <c r="C450" s="71"/>
      <c r="D450" s="72"/>
      <c r="E450" s="73"/>
      <c r="F450" s="74"/>
      <c r="G450" s="75"/>
    </row>
    <row r="451" spans="1:18" ht="15.75" x14ac:dyDescent="0.2">
      <c r="A451" s="273"/>
      <c r="B451" s="76" t="s">
        <v>468</v>
      </c>
      <c r="C451" s="71" t="s">
        <v>233</v>
      </c>
      <c r="D451" s="72">
        <f>D424</f>
        <v>4.5</v>
      </c>
      <c r="E451" s="73"/>
      <c r="F451" s="74"/>
      <c r="G451" s="75">
        <f t="shared" ref="G451" si="72">(D451*E451)+(D451*F451)</f>
        <v>0</v>
      </c>
    </row>
    <row r="452" spans="1:18" ht="12.75" x14ac:dyDescent="0.2">
      <c r="A452" s="273"/>
      <c r="B452" s="76"/>
      <c r="C452" s="71"/>
      <c r="D452" s="72"/>
      <c r="E452" s="73"/>
      <c r="F452" s="74"/>
      <c r="G452" s="75"/>
    </row>
    <row r="453" spans="1:18" ht="12.75" x14ac:dyDescent="0.2">
      <c r="A453" s="273" t="s">
        <v>254</v>
      </c>
      <c r="B453" s="70" t="s">
        <v>249</v>
      </c>
      <c r="C453" s="71"/>
      <c r="D453" s="72"/>
      <c r="E453" s="73"/>
      <c r="F453" s="74"/>
      <c r="G453" s="75"/>
      <c r="I453" s="62"/>
      <c r="J453" s="29"/>
      <c r="K453" s="27"/>
      <c r="L453" s="40"/>
      <c r="M453" s="31"/>
      <c r="N453" s="31"/>
      <c r="O453" s="31"/>
      <c r="P453" s="32"/>
    </row>
    <row r="454" spans="1:18" ht="66" customHeight="1" x14ac:dyDescent="0.2">
      <c r="A454" s="273"/>
      <c r="B454" s="70" t="s">
        <v>507</v>
      </c>
      <c r="C454" s="71"/>
      <c r="D454" s="72"/>
      <c r="E454" s="73"/>
      <c r="F454" s="74"/>
      <c r="G454" s="75"/>
      <c r="I454" s="63"/>
      <c r="J454" s="50"/>
      <c r="K454" s="64"/>
      <c r="L454" s="51"/>
      <c r="M454" s="52"/>
      <c r="N454" s="52"/>
      <c r="O454" s="52"/>
      <c r="P454" s="52"/>
    </row>
    <row r="455" spans="1:18" ht="15.75" x14ac:dyDescent="0.2">
      <c r="A455" s="273"/>
      <c r="B455" s="76" t="s">
        <v>342</v>
      </c>
      <c r="C455" s="71" t="s">
        <v>233</v>
      </c>
      <c r="D455" s="72">
        <v>41.4</v>
      </c>
      <c r="E455" s="73"/>
      <c r="F455" s="74"/>
      <c r="G455" s="75">
        <f t="shared" ref="G455:G457" si="73">(D455*E455)+(D455*F455)</f>
        <v>0</v>
      </c>
      <c r="I455" s="33">
        <f>1.5*6+1*6</f>
        <v>15</v>
      </c>
      <c r="J455" s="54">
        <f>I455*3</f>
        <v>45</v>
      </c>
      <c r="K455" s="54">
        <f>0.6*2*3</f>
        <v>3.5999999999999996</v>
      </c>
      <c r="L455" s="54">
        <f>J455-K455</f>
        <v>41.4</v>
      </c>
    </row>
    <row r="456" spans="1:18" ht="15.75" x14ac:dyDescent="0.2">
      <c r="A456" s="273"/>
      <c r="B456" s="76" t="s">
        <v>466</v>
      </c>
      <c r="C456" s="71" t="s">
        <v>233</v>
      </c>
      <c r="D456" s="72">
        <v>8.64</v>
      </c>
      <c r="E456" s="73"/>
      <c r="F456" s="74"/>
      <c r="G456" s="75">
        <f t="shared" si="73"/>
        <v>0</v>
      </c>
      <c r="I456" s="33">
        <f>1.5+1.65*2</f>
        <v>4.8</v>
      </c>
      <c r="J456" s="54">
        <f>I456*1.8</f>
        <v>8.64</v>
      </c>
      <c r="K456" s="54"/>
      <c r="L456" s="54"/>
      <c r="M456" s="54">
        <f>SUM(K456:L456)</f>
        <v>0</v>
      </c>
      <c r="N456" s="54">
        <f>M456-2.4</f>
        <v>-2.4</v>
      </c>
      <c r="O456" s="54"/>
      <c r="P456" s="54"/>
      <c r="Q456" s="54"/>
      <c r="R456" s="54"/>
    </row>
    <row r="457" spans="1:18" ht="15.75" x14ac:dyDescent="0.2">
      <c r="A457" s="273"/>
      <c r="B457" s="76" t="s">
        <v>467</v>
      </c>
      <c r="C457" s="71" t="s">
        <v>233</v>
      </c>
      <c r="D457" s="72">
        <v>2.1</v>
      </c>
      <c r="E457" s="73"/>
      <c r="F457" s="74"/>
      <c r="G457" s="75">
        <f t="shared" si="73"/>
        <v>0</v>
      </c>
      <c r="I457" s="54">
        <f>1.5*1.4</f>
        <v>2.0999999999999996</v>
      </c>
      <c r="J457" s="54"/>
      <c r="K457" s="54"/>
      <c r="L457" s="54"/>
      <c r="M457" s="54"/>
      <c r="N457" s="54"/>
      <c r="O457" s="54"/>
      <c r="P457" s="54"/>
      <c r="Q457" s="54"/>
      <c r="R457" s="54"/>
    </row>
    <row r="458" spans="1:18" ht="12.75" x14ac:dyDescent="0.2">
      <c r="A458" s="273"/>
      <c r="B458" s="76"/>
      <c r="C458" s="71"/>
      <c r="D458" s="72"/>
      <c r="E458" s="73"/>
      <c r="F458" s="74"/>
      <c r="G458" s="75"/>
      <c r="I458" s="33"/>
      <c r="J458" s="54"/>
      <c r="K458" s="54"/>
      <c r="M458" s="54"/>
      <c r="N458" s="54"/>
      <c r="O458" s="54"/>
      <c r="P458" s="54"/>
      <c r="Q458" s="54"/>
      <c r="R458" s="54"/>
    </row>
    <row r="459" spans="1:18" ht="12.75" x14ac:dyDescent="0.2">
      <c r="A459" s="273" t="s">
        <v>255</v>
      </c>
      <c r="B459" s="70" t="s">
        <v>250</v>
      </c>
      <c r="C459" s="71"/>
      <c r="D459" s="72"/>
      <c r="E459" s="73"/>
      <c r="F459" s="74"/>
      <c r="G459" s="75"/>
      <c r="I459" s="58"/>
      <c r="J459" s="29"/>
      <c r="K459" s="27"/>
      <c r="L459" s="27"/>
    </row>
    <row r="460" spans="1:18" ht="12.75" x14ac:dyDescent="0.2">
      <c r="A460" s="273" t="s">
        <v>176</v>
      </c>
      <c r="B460" s="76" t="s">
        <v>508</v>
      </c>
      <c r="C460" s="71" t="s">
        <v>128</v>
      </c>
      <c r="D460" s="72">
        <v>117</v>
      </c>
      <c r="E460" s="73"/>
      <c r="F460" s="74"/>
      <c r="G460" s="75">
        <f t="shared" ref="G460" si="74">(D460*E460)+(D460*F460)</f>
        <v>0</v>
      </c>
      <c r="I460" s="22">
        <f>8.3*6+6.2*4+13+8.7+2.75+2.4*2+1.5*2+3*2+1.65+3.475</f>
        <v>117.97500000000001</v>
      </c>
      <c r="J460" s="22">
        <f>0.55*2</f>
        <v>1.1000000000000001</v>
      </c>
      <c r="K460" s="22">
        <f>I460-J460</f>
        <v>116.87500000000001</v>
      </c>
    </row>
    <row r="461" spans="1:18" ht="12.75" x14ac:dyDescent="0.2">
      <c r="A461" s="275" t="s">
        <v>161</v>
      </c>
      <c r="B461" s="276" t="s">
        <v>69</v>
      </c>
      <c r="C461" s="277"/>
      <c r="D461" s="278"/>
      <c r="E461" s="281"/>
      <c r="F461" s="242"/>
      <c r="G461" s="243"/>
    </row>
    <row r="462" spans="1:18" ht="12.75" x14ac:dyDescent="0.2">
      <c r="A462" s="273" t="s">
        <v>253</v>
      </c>
      <c r="B462" s="70" t="s">
        <v>248</v>
      </c>
      <c r="C462" s="71"/>
      <c r="D462" s="72"/>
      <c r="E462" s="73"/>
      <c r="F462" s="74"/>
      <c r="G462" s="75"/>
    </row>
    <row r="463" spans="1:18" ht="12.75" x14ac:dyDescent="0.2">
      <c r="A463" s="273" t="s">
        <v>176</v>
      </c>
      <c r="B463" s="70" t="s">
        <v>509</v>
      </c>
      <c r="C463" s="71"/>
      <c r="D463" s="72"/>
      <c r="E463" s="73"/>
      <c r="F463" s="74"/>
      <c r="G463" s="75"/>
      <c r="I463" s="22">
        <f>12.5+2.95+3.05+3.05+2.95</f>
        <v>24.5</v>
      </c>
    </row>
    <row r="464" spans="1:18" ht="15.75" x14ac:dyDescent="0.2">
      <c r="A464" s="273"/>
      <c r="B464" s="76" t="s">
        <v>339</v>
      </c>
      <c r="C464" s="71" t="s">
        <v>233</v>
      </c>
      <c r="D464" s="72">
        <f>D427</f>
        <v>102.92</v>
      </c>
      <c r="E464" s="73"/>
      <c r="F464" s="74"/>
      <c r="G464" s="75">
        <f t="shared" ref="G464:G466" si="75">(D464*E464)+(D464*F464)</f>
        <v>0</v>
      </c>
      <c r="I464" s="22">
        <v>28.7</v>
      </c>
    </row>
    <row r="465" spans="1:12" ht="12" customHeight="1" x14ac:dyDescent="0.2">
      <c r="A465" s="273"/>
      <c r="B465" s="76" t="s">
        <v>464</v>
      </c>
      <c r="C465" s="71" t="s">
        <v>233</v>
      </c>
      <c r="D465" s="72">
        <f>D428</f>
        <v>12.25</v>
      </c>
      <c r="E465" s="73"/>
      <c r="F465" s="74"/>
      <c r="G465" s="75">
        <f t="shared" si="75"/>
        <v>0</v>
      </c>
      <c r="I465" s="22">
        <v>19.7</v>
      </c>
    </row>
    <row r="466" spans="1:12" ht="12" customHeight="1" x14ac:dyDescent="0.2">
      <c r="A466" s="273"/>
      <c r="B466" s="76" t="s">
        <v>469</v>
      </c>
      <c r="C466" s="71" t="s">
        <v>233</v>
      </c>
      <c r="D466" s="72">
        <f>D429</f>
        <v>3.55</v>
      </c>
      <c r="E466" s="73"/>
      <c r="F466" s="74"/>
      <c r="G466" s="75">
        <f t="shared" si="75"/>
        <v>0</v>
      </c>
    </row>
    <row r="467" spans="1:12" ht="12" customHeight="1" x14ac:dyDescent="0.2">
      <c r="A467" s="273"/>
      <c r="B467" s="76"/>
      <c r="C467" s="71"/>
      <c r="D467" s="72"/>
      <c r="E467" s="73"/>
      <c r="F467" s="74"/>
      <c r="G467" s="75"/>
    </row>
    <row r="468" spans="1:12" ht="12.75" x14ac:dyDescent="0.2">
      <c r="A468" s="273" t="s">
        <v>177</v>
      </c>
      <c r="B468" s="70" t="s">
        <v>510</v>
      </c>
      <c r="C468" s="71"/>
      <c r="D468" s="72"/>
      <c r="E468" s="73"/>
      <c r="F468" s="74"/>
      <c r="G468" s="75"/>
    </row>
    <row r="469" spans="1:12" ht="15.75" x14ac:dyDescent="0.2">
      <c r="A469" s="273"/>
      <c r="B469" s="76" t="s">
        <v>462</v>
      </c>
      <c r="C469" s="71" t="s">
        <v>233</v>
      </c>
      <c r="D469" s="72">
        <f>D430</f>
        <v>53.05</v>
      </c>
      <c r="E469" s="73"/>
      <c r="F469" s="74"/>
      <c r="G469" s="75">
        <f t="shared" ref="G469" si="76">(D469*E469)+(D469*F469)</f>
        <v>0</v>
      </c>
      <c r="I469" s="22">
        <f>19.1*1.85</f>
        <v>35.335000000000001</v>
      </c>
      <c r="J469" s="22">
        <f>4.28*3.2</f>
        <v>13.696000000000002</v>
      </c>
      <c r="K469" s="22">
        <f>SUM(I469:J469)</f>
        <v>49.031000000000006</v>
      </c>
    </row>
    <row r="470" spans="1:12" ht="12.75" x14ac:dyDescent="0.2">
      <c r="A470" s="273"/>
      <c r="B470" s="76"/>
      <c r="C470" s="71"/>
      <c r="D470" s="72"/>
      <c r="E470" s="73"/>
      <c r="F470" s="74"/>
      <c r="G470" s="75"/>
    </row>
    <row r="471" spans="1:12" ht="12.75" x14ac:dyDescent="0.2">
      <c r="A471" s="273" t="s">
        <v>190</v>
      </c>
      <c r="B471" s="70" t="s">
        <v>269</v>
      </c>
      <c r="C471" s="71"/>
      <c r="D471" s="72"/>
      <c r="E471" s="73"/>
      <c r="F471" s="74"/>
      <c r="G471" s="75"/>
    </row>
    <row r="472" spans="1:12" ht="15.75" x14ac:dyDescent="0.2">
      <c r="A472" s="273"/>
      <c r="B472" s="76" t="s">
        <v>468</v>
      </c>
      <c r="C472" s="71" t="s">
        <v>233</v>
      </c>
      <c r="D472" s="72">
        <f>D431</f>
        <v>4.5</v>
      </c>
      <c r="E472" s="73"/>
      <c r="F472" s="74"/>
      <c r="G472" s="75">
        <f t="shared" ref="G472" si="77">(D472*E472)+(D472*F472)</f>
        <v>0</v>
      </c>
    </row>
    <row r="473" spans="1:12" ht="12.75" x14ac:dyDescent="0.2">
      <c r="A473" s="273"/>
      <c r="B473" s="76"/>
      <c r="C473" s="71"/>
      <c r="D473" s="72"/>
      <c r="E473" s="73"/>
      <c r="F473" s="74"/>
      <c r="G473" s="75"/>
    </row>
    <row r="474" spans="1:12" ht="12.75" x14ac:dyDescent="0.2">
      <c r="A474" s="273" t="s">
        <v>254</v>
      </c>
      <c r="B474" s="70" t="s">
        <v>249</v>
      </c>
      <c r="C474" s="71"/>
      <c r="D474" s="72"/>
      <c r="E474" s="73"/>
      <c r="F474" s="74"/>
      <c r="G474" s="75"/>
      <c r="I474" s="62"/>
      <c r="J474" s="29"/>
      <c r="K474" s="27"/>
      <c r="L474" s="40"/>
    </row>
    <row r="475" spans="1:12" ht="57.75" customHeight="1" x14ac:dyDescent="0.2">
      <c r="A475" s="273"/>
      <c r="B475" s="70" t="s">
        <v>507</v>
      </c>
      <c r="C475" s="71"/>
      <c r="D475" s="72"/>
      <c r="E475" s="73"/>
      <c r="F475" s="74"/>
      <c r="G475" s="75"/>
      <c r="I475" s="421"/>
      <c r="J475" s="50"/>
      <c r="K475" s="64"/>
      <c r="L475" s="51"/>
    </row>
    <row r="476" spans="1:12" ht="15.75" x14ac:dyDescent="0.2">
      <c r="A476" s="273"/>
      <c r="B476" s="76" t="s">
        <v>342</v>
      </c>
      <c r="C476" s="71" t="s">
        <v>233</v>
      </c>
      <c r="D476" s="72">
        <v>41.4</v>
      </c>
      <c r="E476" s="73"/>
      <c r="F476" s="74"/>
      <c r="G476" s="75">
        <f t="shared" ref="G476:G478" si="78">(D476*E476)+(D476*F476)</f>
        <v>0</v>
      </c>
      <c r="I476" s="33">
        <f>1.5*6+1*6</f>
        <v>15</v>
      </c>
      <c r="J476" s="54">
        <f>I476*3</f>
        <v>45</v>
      </c>
      <c r="K476" s="54">
        <f>0.6*2*3</f>
        <v>3.5999999999999996</v>
      </c>
      <c r="L476" s="54">
        <f>J476-K476</f>
        <v>41.4</v>
      </c>
    </row>
    <row r="477" spans="1:12" ht="15.75" x14ac:dyDescent="0.2">
      <c r="A477" s="273"/>
      <c r="B477" s="76" t="s">
        <v>466</v>
      </c>
      <c r="C477" s="71" t="s">
        <v>233</v>
      </c>
      <c r="D477" s="72">
        <v>8.64</v>
      </c>
      <c r="E477" s="73"/>
      <c r="F477" s="74"/>
      <c r="G477" s="75">
        <f t="shared" si="78"/>
        <v>0</v>
      </c>
      <c r="I477" s="33">
        <f>1.5+1.65*2</f>
        <v>4.8</v>
      </c>
      <c r="J477" s="54">
        <f>I477*1.8</f>
        <v>8.64</v>
      </c>
      <c r="K477" s="54"/>
      <c r="L477" s="54"/>
    </row>
    <row r="478" spans="1:12" ht="15.75" x14ac:dyDescent="0.2">
      <c r="A478" s="273"/>
      <c r="B478" s="76" t="s">
        <v>467</v>
      </c>
      <c r="C478" s="71" t="s">
        <v>233</v>
      </c>
      <c r="D478" s="72">
        <v>2.1</v>
      </c>
      <c r="E478" s="73"/>
      <c r="F478" s="74"/>
      <c r="G478" s="75">
        <f t="shared" si="78"/>
        <v>0</v>
      </c>
      <c r="I478" s="54">
        <f>1.5*1.4</f>
        <v>2.0999999999999996</v>
      </c>
      <c r="J478" s="54"/>
      <c r="K478" s="54"/>
      <c r="L478" s="54"/>
    </row>
    <row r="479" spans="1:12" ht="12.75" x14ac:dyDescent="0.2">
      <c r="A479" s="273"/>
      <c r="B479" s="76"/>
      <c r="C479" s="71"/>
      <c r="D479" s="72"/>
      <c r="E479" s="73"/>
      <c r="F479" s="74"/>
      <c r="G479" s="75"/>
    </row>
    <row r="480" spans="1:12" ht="12.75" x14ac:dyDescent="0.2">
      <c r="A480" s="273" t="s">
        <v>255</v>
      </c>
      <c r="B480" s="70" t="s">
        <v>250</v>
      </c>
      <c r="C480" s="71"/>
      <c r="D480" s="72"/>
      <c r="E480" s="73"/>
      <c r="F480" s="74"/>
      <c r="G480" s="75"/>
      <c r="I480" s="62"/>
      <c r="J480" s="29"/>
      <c r="K480" s="27"/>
      <c r="L480" s="27"/>
    </row>
    <row r="481" spans="1:13" ht="12.75" x14ac:dyDescent="0.2">
      <c r="A481" s="273" t="s">
        <v>176</v>
      </c>
      <c r="B481" s="76" t="s">
        <v>508</v>
      </c>
      <c r="C481" s="71" t="s">
        <v>128</v>
      </c>
      <c r="D481" s="72">
        <v>131.19999999999999</v>
      </c>
      <c r="E481" s="73"/>
      <c r="F481" s="74"/>
      <c r="G481" s="75">
        <f t="shared" ref="G481" si="79">(D481*E481)+(D481*F481)</f>
        <v>0</v>
      </c>
      <c r="I481" s="22">
        <f>8.3*8+6.2*4+3*7+19.4+2*2</f>
        <v>135.6</v>
      </c>
      <c r="J481" s="22">
        <f>0.55*8</f>
        <v>4.4000000000000004</v>
      </c>
      <c r="K481" s="22">
        <f>I481-J481</f>
        <v>131.19999999999999</v>
      </c>
    </row>
    <row r="482" spans="1:13" ht="12.75" x14ac:dyDescent="0.2">
      <c r="A482" s="273"/>
      <c r="B482" s="76"/>
      <c r="C482" s="71"/>
      <c r="D482" s="72"/>
      <c r="E482" s="73"/>
      <c r="F482" s="74"/>
      <c r="G482" s="75"/>
    </row>
    <row r="483" spans="1:13" x14ac:dyDescent="0.2">
      <c r="A483" s="282" t="s">
        <v>180</v>
      </c>
      <c r="B483" s="283" t="s">
        <v>220</v>
      </c>
      <c r="C483" s="217"/>
      <c r="D483" s="208"/>
      <c r="E483" s="209"/>
      <c r="F483" s="284"/>
      <c r="G483" s="285"/>
    </row>
    <row r="484" spans="1:13" ht="36" x14ac:dyDescent="0.2">
      <c r="A484" s="286"/>
      <c r="B484" s="287" t="s">
        <v>221</v>
      </c>
      <c r="C484" s="288"/>
      <c r="D484" s="101"/>
      <c r="E484" s="73"/>
      <c r="F484" s="74"/>
      <c r="G484" s="75"/>
    </row>
    <row r="485" spans="1:13" ht="15.75" x14ac:dyDescent="0.2">
      <c r="A485" s="286"/>
      <c r="B485" s="76" t="s">
        <v>468</v>
      </c>
      <c r="C485" s="71" t="s">
        <v>233</v>
      </c>
      <c r="D485" s="72">
        <f>D424+D431</f>
        <v>9</v>
      </c>
      <c r="E485" s="73"/>
      <c r="F485" s="74"/>
      <c r="G485" s="75">
        <f t="shared" ref="G485" si="80">(D485*E485)+(D485*F485)</f>
        <v>0</v>
      </c>
    </row>
    <row r="486" spans="1:13" ht="13.5" x14ac:dyDescent="0.2">
      <c r="A486" s="286"/>
      <c r="B486" s="287" t="s">
        <v>462</v>
      </c>
      <c r="C486" s="252" t="s">
        <v>151</v>
      </c>
      <c r="D486" s="101">
        <f>D446+D469</f>
        <v>106.89</v>
      </c>
      <c r="E486" s="73"/>
      <c r="F486" s="74"/>
      <c r="G486" s="75">
        <f>(D486*E486)+(D486*F486)</f>
        <v>0</v>
      </c>
      <c r="I486" s="33"/>
      <c r="L486" s="33"/>
    </row>
    <row r="487" spans="1:13" x14ac:dyDescent="0.2">
      <c r="A487" s="286"/>
      <c r="B487" s="287"/>
      <c r="C487" s="252"/>
      <c r="D487" s="101"/>
      <c r="E487" s="73"/>
      <c r="F487" s="74"/>
      <c r="G487" s="75"/>
    </row>
    <row r="488" spans="1:13" x14ac:dyDescent="0.2">
      <c r="A488" s="282" t="s">
        <v>181</v>
      </c>
      <c r="B488" s="283" t="s">
        <v>234</v>
      </c>
      <c r="C488" s="217"/>
      <c r="D488" s="208"/>
      <c r="E488" s="209"/>
      <c r="F488" s="284"/>
      <c r="G488" s="285"/>
    </row>
    <row r="489" spans="1:13" ht="27" customHeight="1" x14ac:dyDescent="0.2">
      <c r="A489" s="289" t="s">
        <v>176</v>
      </c>
      <c r="B489" s="287" t="s">
        <v>261</v>
      </c>
      <c r="C489" s="252" t="s">
        <v>15</v>
      </c>
      <c r="D489" s="101">
        <v>1</v>
      </c>
      <c r="E489" s="73"/>
      <c r="F489" s="74"/>
      <c r="G489" s="75">
        <f>(D489*E489)+(D489*F489)</f>
        <v>0</v>
      </c>
      <c r="J489" s="54"/>
      <c r="K489" s="54"/>
      <c r="L489" s="54"/>
      <c r="M489" s="54"/>
    </row>
    <row r="490" spans="1:13" x14ac:dyDescent="0.2">
      <c r="A490" s="286"/>
      <c r="B490" s="287"/>
      <c r="C490" s="252"/>
      <c r="D490" s="101"/>
      <c r="E490" s="73"/>
      <c r="F490" s="74"/>
      <c r="G490" s="75"/>
    </row>
    <row r="491" spans="1:13" x14ac:dyDescent="0.2">
      <c r="A491" s="286"/>
      <c r="B491" s="287"/>
      <c r="C491" s="252"/>
      <c r="D491" s="101"/>
      <c r="E491" s="73"/>
      <c r="F491" s="74"/>
      <c r="G491" s="75"/>
    </row>
    <row r="492" spans="1:13" x14ac:dyDescent="0.2">
      <c r="A492" s="286"/>
      <c r="B492" s="287"/>
      <c r="C492" s="252"/>
      <c r="D492" s="101"/>
      <c r="E492" s="73"/>
      <c r="F492" s="74"/>
      <c r="G492" s="75"/>
    </row>
    <row r="493" spans="1:13" ht="12.75" thickBot="1" x14ac:dyDescent="0.25">
      <c r="A493" s="286"/>
      <c r="B493" s="287"/>
      <c r="C493" s="252"/>
      <c r="D493" s="101"/>
      <c r="E493" s="73"/>
      <c r="F493" s="74"/>
      <c r="G493" s="75"/>
    </row>
    <row r="494" spans="1:13" x14ac:dyDescent="0.2">
      <c r="A494" s="137"/>
      <c r="B494" s="147" t="s">
        <v>156</v>
      </c>
      <c r="C494" s="148"/>
      <c r="D494" s="149"/>
      <c r="E494" s="150"/>
      <c r="F494" s="151"/>
      <c r="G494" s="386"/>
    </row>
    <row r="495" spans="1:13" ht="12.75" thickBot="1" x14ac:dyDescent="0.25">
      <c r="A495" s="362"/>
      <c r="B495" s="356" t="s">
        <v>157</v>
      </c>
      <c r="C495" s="368"/>
      <c r="D495" s="364"/>
      <c r="E495" s="365"/>
      <c r="F495" s="358"/>
      <c r="G495" s="360">
        <f>SUM(G417:G494)</f>
        <v>0</v>
      </c>
    </row>
    <row r="496" spans="1:13" x14ac:dyDescent="0.2">
      <c r="A496" s="98"/>
      <c r="B496" s="179"/>
      <c r="C496" s="100"/>
      <c r="D496" s="101"/>
      <c r="E496" s="90"/>
      <c r="F496" s="91"/>
      <c r="G496" s="233"/>
    </row>
    <row r="497" spans="1:12" x14ac:dyDescent="0.2">
      <c r="A497" s="98"/>
      <c r="B497" s="99" t="s">
        <v>202</v>
      </c>
      <c r="C497" s="100"/>
      <c r="D497" s="101"/>
      <c r="E497" s="90"/>
      <c r="F497" s="91"/>
      <c r="G497" s="92"/>
    </row>
    <row r="498" spans="1:12" x14ac:dyDescent="0.2">
      <c r="A498" s="98"/>
      <c r="B498" s="102" t="s">
        <v>110</v>
      </c>
      <c r="C498" s="100"/>
      <c r="D498" s="101"/>
      <c r="E498" s="90"/>
      <c r="F498" s="91"/>
      <c r="G498" s="92"/>
    </row>
    <row r="499" spans="1:12" x14ac:dyDescent="0.2">
      <c r="A499" s="257" t="s">
        <v>182</v>
      </c>
      <c r="B499" s="166" t="s">
        <v>41</v>
      </c>
      <c r="C499" s="100"/>
      <c r="D499" s="101"/>
      <c r="E499" s="90"/>
      <c r="F499" s="91"/>
      <c r="G499" s="92"/>
    </row>
    <row r="500" spans="1:12" ht="40.5" customHeight="1" x14ac:dyDescent="0.2">
      <c r="A500" s="98"/>
      <c r="B500" s="131" t="s">
        <v>285</v>
      </c>
      <c r="C500" s="106"/>
      <c r="D500" s="106"/>
      <c r="E500" s="106"/>
      <c r="F500" s="106"/>
      <c r="G500" s="107"/>
    </row>
    <row r="501" spans="1:12" ht="50.25" customHeight="1" x14ac:dyDescent="0.2">
      <c r="A501" s="98"/>
      <c r="B501" s="131" t="s">
        <v>284</v>
      </c>
      <c r="C501" s="106"/>
      <c r="D501" s="106"/>
      <c r="E501" s="106"/>
      <c r="F501" s="106"/>
      <c r="G501" s="107"/>
    </row>
    <row r="502" spans="1:12" ht="24.75" customHeight="1" x14ac:dyDescent="0.2">
      <c r="A502" s="98"/>
      <c r="B502" s="131" t="s">
        <v>283</v>
      </c>
      <c r="C502" s="106"/>
      <c r="D502" s="106"/>
      <c r="E502" s="106"/>
      <c r="F502" s="106"/>
      <c r="G502" s="107"/>
    </row>
    <row r="503" spans="1:12" ht="39.75" customHeight="1" x14ac:dyDescent="0.2">
      <c r="A503" s="98"/>
      <c r="B503" s="131" t="s">
        <v>511</v>
      </c>
      <c r="C503" s="106"/>
      <c r="D503" s="106"/>
      <c r="E503" s="106"/>
      <c r="F503" s="106"/>
      <c r="G503" s="107"/>
    </row>
    <row r="504" spans="1:12" ht="13.5" customHeight="1" x14ac:dyDescent="0.2">
      <c r="A504" s="98"/>
      <c r="B504" s="443" t="s">
        <v>231</v>
      </c>
      <c r="C504" s="444"/>
      <c r="D504" s="444"/>
      <c r="E504" s="444"/>
      <c r="F504" s="444"/>
      <c r="G504" s="445"/>
    </row>
    <row r="505" spans="1:12" ht="13.5" customHeight="1" x14ac:dyDescent="0.2">
      <c r="A505" s="98"/>
      <c r="B505" s="393"/>
      <c r="C505" s="165"/>
      <c r="D505" s="165"/>
      <c r="E505" s="165"/>
      <c r="F505" s="165"/>
      <c r="G505" s="394"/>
    </row>
    <row r="506" spans="1:12" x14ac:dyDescent="0.2">
      <c r="A506" s="290" t="s">
        <v>160</v>
      </c>
      <c r="B506" s="291" t="s">
        <v>112</v>
      </c>
      <c r="C506" s="292"/>
      <c r="D506" s="293"/>
      <c r="E506" s="281"/>
      <c r="F506" s="242"/>
      <c r="G506" s="243"/>
    </row>
    <row r="507" spans="1:12" x14ac:dyDescent="0.2">
      <c r="A507" s="294"/>
      <c r="B507" s="295" t="s">
        <v>407</v>
      </c>
      <c r="C507" s="296"/>
      <c r="D507" s="297"/>
      <c r="E507" s="298"/>
      <c r="F507" s="299"/>
      <c r="G507" s="300"/>
    </row>
    <row r="508" spans="1:12" s="55" customFormat="1" ht="40.5" customHeight="1" x14ac:dyDescent="0.2">
      <c r="A508" s="174" t="s">
        <v>176</v>
      </c>
      <c r="B508" s="128" t="s">
        <v>435</v>
      </c>
      <c r="C508" s="301" t="s">
        <v>113</v>
      </c>
      <c r="D508" s="101">
        <v>4</v>
      </c>
      <c r="E508" s="90"/>
      <c r="F508" s="194"/>
      <c r="G508" s="195">
        <f t="shared" ref="G508:G510" si="81">(D508*E508)+(D508*F508)</f>
        <v>0</v>
      </c>
      <c r="I508" s="65">
        <f>0.95*2.83</f>
        <v>2.6884999999999999</v>
      </c>
      <c r="J508" s="61">
        <f>I508*D508</f>
        <v>10.754</v>
      </c>
      <c r="K508" s="65">
        <f>J508+J512+J513+J514</f>
        <v>41.071000000000005</v>
      </c>
    </row>
    <row r="509" spans="1:12" s="55" customFormat="1" ht="28.5" customHeight="1" x14ac:dyDescent="0.2">
      <c r="A509" s="174" t="s">
        <v>177</v>
      </c>
      <c r="B509" s="128" t="s">
        <v>433</v>
      </c>
      <c r="C509" s="301" t="s">
        <v>113</v>
      </c>
      <c r="D509" s="101">
        <v>1</v>
      </c>
      <c r="E509" s="90"/>
      <c r="F509" s="194"/>
      <c r="G509" s="195">
        <f t="shared" si="81"/>
        <v>0</v>
      </c>
      <c r="I509" s="65">
        <f>0.95*2.15</f>
        <v>2.0425</v>
      </c>
      <c r="J509" s="61">
        <f t="shared" ref="J509" si="82">I509*D509</f>
        <v>2.0425</v>
      </c>
      <c r="K509" s="65"/>
    </row>
    <row r="510" spans="1:12" s="55" customFormat="1" ht="24.75" customHeight="1" x14ac:dyDescent="0.2">
      <c r="A510" s="174" t="s">
        <v>190</v>
      </c>
      <c r="B510" s="128" t="s">
        <v>434</v>
      </c>
      <c r="C510" s="301" t="s">
        <v>113</v>
      </c>
      <c r="D510" s="101">
        <v>4</v>
      </c>
      <c r="E510" s="90"/>
      <c r="F510" s="194"/>
      <c r="G510" s="195">
        <f t="shared" si="81"/>
        <v>0</v>
      </c>
      <c r="I510" s="61">
        <f>0.7*2</f>
        <v>1.4</v>
      </c>
      <c r="J510" s="61">
        <f>I510*D510</f>
        <v>5.6</v>
      </c>
      <c r="K510" s="65"/>
    </row>
    <row r="511" spans="1:12" ht="12" customHeight="1" x14ac:dyDescent="0.2">
      <c r="A511" s="294"/>
      <c r="B511" s="295" t="s">
        <v>406</v>
      </c>
      <c r="C511" s="296"/>
      <c r="D511" s="297"/>
      <c r="E511" s="298"/>
      <c r="F511" s="299"/>
      <c r="G511" s="300"/>
      <c r="I511" s="33"/>
      <c r="J511" s="61"/>
      <c r="K511" s="54"/>
      <c r="L511" s="54">
        <f>J510+I509</f>
        <v>7.6425000000000001</v>
      </c>
    </row>
    <row r="512" spans="1:12" ht="59.25" customHeight="1" x14ac:dyDescent="0.2">
      <c r="A512" s="174" t="s">
        <v>176</v>
      </c>
      <c r="B512" s="128" t="s">
        <v>512</v>
      </c>
      <c r="C512" s="301" t="s">
        <v>113</v>
      </c>
      <c r="D512" s="101">
        <v>4</v>
      </c>
      <c r="E512" s="90"/>
      <c r="F512" s="194"/>
      <c r="G512" s="195">
        <f t="shared" ref="G512:G514" si="83">(D512*E512)+(D512*F512)</f>
        <v>0</v>
      </c>
      <c r="I512" s="33">
        <f>2.45*1.69</f>
        <v>4.1405000000000003</v>
      </c>
      <c r="J512" s="61">
        <f>I512*D512</f>
        <v>16.562000000000001</v>
      </c>
      <c r="K512" s="54"/>
    </row>
    <row r="513" spans="1:12" ht="54" customHeight="1" x14ac:dyDescent="0.2">
      <c r="A513" s="174" t="s">
        <v>177</v>
      </c>
      <c r="B513" s="128" t="s">
        <v>513</v>
      </c>
      <c r="C513" s="301" t="s">
        <v>113</v>
      </c>
      <c r="D513" s="101">
        <v>4</v>
      </c>
      <c r="E513" s="90"/>
      <c r="F513" s="194"/>
      <c r="G513" s="195">
        <f t="shared" si="83"/>
        <v>0</v>
      </c>
      <c r="I513" s="33">
        <f>1.575*2</f>
        <v>3.15</v>
      </c>
      <c r="J513" s="61">
        <f>I513*D513</f>
        <v>12.6</v>
      </c>
      <c r="K513" s="54"/>
    </row>
    <row r="514" spans="1:12" ht="44.25" customHeight="1" x14ac:dyDescent="0.2">
      <c r="A514" s="174" t="s">
        <v>190</v>
      </c>
      <c r="B514" s="128" t="s">
        <v>516</v>
      </c>
      <c r="C514" s="301" t="s">
        <v>113</v>
      </c>
      <c r="D514" s="101">
        <v>3</v>
      </c>
      <c r="E514" s="90"/>
      <c r="F514" s="194"/>
      <c r="G514" s="195">
        <f t="shared" si="83"/>
        <v>0</v>
      </c>
      <c r="I514" s="33">
        <f>0.7*0.55</f>
        <v>0.38500000000000001</v>
      </c>
      <c r="J514" s="61">
        <f>I514*D514</f>
        <v>1.155</v>
      </c>
      <c r="K514" s="54"/>
    </row>
    <row r="515" spans="1:12" ht="12" customHeight="1" x14ac:dyDescent="0.2">
      <c r="A515" s="294"/>
      <c r="B515" s="295" t="s">
        <v>405</v>
      </c>
      <c r="C515" s="296"/>
      <c r="D515" s="297"/>
      <c r="E515" s="298"/>
      <c r="F515" s="299"/>
      <c r="G515" s="300"/>
      <c r="I515" s="33"/>
      <c r="J515" s="61">
        <f>SUM(J508:J514)</f>
        <v>48.713500000000003</v>
      </c>
      <c r="K515" s="54">
        <f>J515-J510</f>
        <v>43.113500000000002</v>
      </c>
      <c r="L515" s="54">
        <f>K515-J509</f>
        <v>41.071000000000005</v>
      </c>
    </row>
    <row r="516" spans="1:12" ht="46.5" customHeight="1" x14ac:dyDescent="0.2">
      <c r="A516" s="174" t="s">
        <v>176</v>
      </c>
      <c r="B516" s="128" t="s">
        <v>514</v>
      </c>
      <c r="C516" s="301" t="s">
        <v>113</v>
      </c>
      <c r="D516" s="101">
        <v>6</v>
      </c>
      <c r="E516" s="90"/>
      <c r="F516" s="194"/>
      <c r="G516" s="195">
        <f t="shared" ref="G516:G517" si="84">(D516*E516)+(D516*F516)</f>
        <v>0</v>
      </c>
      <c r="I516" s="33"/>
      <c r="J516" s="61"/>
      <c r="K516" s="54"/>
    </row>
    <row r="517" spans="1:12" ht="45.75" customHeight="1" x14ac:dyDescent="0.2">
      <c r="A517" s="174" t="s">
        <v>177</v>
      </c>
      <c r="B517" s="128" t="s">
        <v>515</v>
      </c>
      <c r="C517" s="301" t="s">
        <v>113</v>
      </c>
      <c r="D517" s="101">
        <v>2</v>
      </c>
      <c r="E517" s="90"/>
      <c r="F517" s="194"/>
      <c r="G517" s="195">
        <f t="shared" si="84"/>
        <v>0</v>
      </c>
      <c r="I517" s="33"/>
      <c r="J517" s="61"/>
      <c r="K517" s="54"/>
    </row>
    <row r="518" spans="1:12" ht="12" customHeight="1" x14ac:dyDescent="0.2">
      <c r="A518" s="174"/>
      <c r="B518" s="128"/>
      <c r="C518" s="301"/>
      <c r="D518" s="101"/>
      <c r="E518" s="90"/>
      <c r="F518" s="194"/>
      <c r="G518" s="195"/>
      <c r="I518" s="33"/>
      <c r="J518" s="61"/>
      <c r="K518" s="54"/>
    </row>
    <row r="519" spans="1:12" x14ac:dyDescent="0.2">
      <c r="A519" s="290" t="s">
        <v>161</v>
      </c>
      <c r="B519" s="291" t="s">
        <v>69</v>
      </c>
      <c r="C519" s="292"/>
      <c r="D519" s="293"/>
      <c r="E519" s="281"/>
      <c r="F519" s="242"/>
      <c r="G519" s="243"/>
      <c r="J519" s="33"/>
      <c r="K519" s="33"/>
    </row>
    <row r="520" spans="1:12" x14ac:dyDescent="0.2">
      <c r="A520" s="294"/>
      <c r="B520" s="295" t="s">
        <v>407</v>
      </c>
      <c r="C520" s="296"/>
      <c r="D520" s="297"/>
      <c r="E520" s="298"/>
      <c r="F520" s="299"/>
      <c r="G520" s="300"/>
      <c r="K520" s="33"/>
    </row>
    <row r="521" spans="1:12" ht="36" x14ac:dyDescent="0.2">
      <c r="A521" s="174" t="s">
        <v>176</v>
      </c>
      <c r="B521" s="128" t="s">
        <v>435</v>
      </c>
      <c r="C521" s="301" t="s">
        <v>113</v>
      </c>
      <c r="D521" s="101">
        <v>5</v>
      </c>
      <c r="E521" s="90"/>
      <c r="F521" s="194"/>
      <c r="G521" s="195">
        <f t="shared" ref="G521:G522" si="85">(D521*E521)+(D521*F521)</f>
        <v>0</v>
      </c>
      <c r="H521" s="55"/>
      <c r="I521" s="65">
        <f>0.95*2.83</f>
        <v>2.6884999999999999</v>
      </c>
      <c r="J521" s="61">
        <f>I521*D521</f>
        <v>13.442499999999999</v>
      </c>
      <c r="K521" s="54"/>
    </row>
    <row r="522" spans="1:12" ht="24" x14ac:dyDescent="0.2">
      <c r="A522" s="174" t="s">
        <v>177</v>
      </c>
      <c r="B522" s="128" t="s">
        <v>434</v>
      </c>
      <c r="C522" s="301" t="s">
        <v>113</v>
      </c>
      <c r="D522" s="101">
        <v>4</v>
      </c>
      <c r="E522" s="90"/>
      <c r="F522" s="194"/>
      <c r="G522" s="195">
        <f t="shared" si="85"/>
        <v>0</v>
      </c>
      <c r="H522" s="55"/>
      <c r="I522" s="65">
        <f>0.95*2.15</f>
        <v>2.0425</v>
      </c>
      <c r="J522" s="61">
        <f>I522*D522</f>
        <v>8.17</v>
      </c>
      <c r="K522" s="54"/>
      <c r="L522" s="54">
        <f>I522+I521</f>
        <v>4.7309999999999999</v>
      </c>
    </row>
    <row r="523" spans="1:12" x14ac:dyDescent="0.2">
      <c r="A523" s="174"/>
      <c r="B523" s="128"/>
      <c r="C523" s="301"/>
      <c r="D523" s="101"/>
      <c r="E523" s="90"/>
      <c r="F523" s="194"/>
      <c r="G523" s="195"/>
      <c r="H523" s="55"/>
      <c r="I523" s="65"/>
      <c r="J523" s="61"/>
      <c r="K523" s="54"/>
      <c r="L523" s="54"/>
    </row>
    <row r="524" spans="1:12" ht="12" customHeight="1" x14ac:dyDescent="0.2">
      <c r="A524" s="294"/>
      <c r="B524" s="295" t="s">
        <v>406</v>
      </c>
      <c r="C524" s="296"/>
      <c r="D524" s="297"/>
      <c r="E524" s="298"/>
      <c r="F524" s="299"/>
      <c r="G524" s="300"/>
      <c r="I524" s="33"/>
      <c r="J524" s="61">
        <f t="shared" ref="J524:J529" si="86">I524*D524</f>
        <v>0</v>
      </c>
      <c r="K524" s="54"/>
    </row>
    <row r="525" spans="1:12" ht="48" x14ac:dyDescent="0.2">
      <c r="A525" s="174" t="s">
        <v>176</v>
      </c>
      <c r="B525" s="128" t="s">
        <v>512</v>
      </c>
      <c r="C525" s="301" t="s">
        <v>113</v>
      </c>
      <c r="D525" s="101">
        <v>4</v>
      </c>
      <c r="E525" s="90"/>
      <c r="F525" s="194"/>
      <c r="G525" s="195">
        <f t="shared" ref="G525:G530" si="87">(D525*E525)+(D525*F525)</f>
        <v>0</v>
      </c>
      <c r="I525" s="33">
        <f>2.45*1.69</f>
        <v>4.1405000000000003</v>
      </c>
      <c r="J525" s="61">
        <f t="shared" si="86"/>
        <v>16.562000000000001</v>
      </c>
      <c r="K525" s="54"/>
    </row>
    <row r="526" spans="1:12" ht="12.75" thickBot="1" x14ac:dyDescent="0.25">
      <c r="A526" s="428"/>
      <c r="B526" s="413"/>
      <c r="C526" s="429"/>
      <c r="D526" s="364"/>
      <c r="E526" s="365"/>
      <c r="F526" s="430"/>
      <c r="G526" s="431"/>
      <c r="I526" s="33"/>
      <c r="J526" s="61"/>
      <c r="K526" s="54"/>
    </row>
    <row r="527" spans="1:12" x14ac:dyDescent="0.2">
      <c r="A527" s="174"/>
      <c r="B527" s="128"/>
      <c r="C527" s="301"/>
      <c r="D527" s="101"/>
      <c r="E527" s="90"/>
      <c r="F527" s="194"/>
      <c r="G527" s="195"/>
      <c r="I527" s="33"/>
      <c r="J527" s="61"/>
      <c r="K527" s="54"/>
    </row>
    <row r="528" spans="1:12" ht="51" customHeight="1" x14ac:dyDescent="0.2">
      <c r="A528" s="174" t="s">
        <v>177</v>
      </c>
      <c r="B528" s="128" t="s">
        <v>513</v>
      </c>
      <c r="C528" s="301" t="s">
        <v>113</v>
      </c>
      <c r="D528" s="101">
        <v>4</v>
      </c>
      <c r="E528" s="90"/>
      <c r="F528" s="194"/>
      <c r="G528" s="195">
        <f t="shared" si="87"/>
        <v>0</v>
      </c>
      <c r="I528" s="33">
        <f>1.575*2</f>
        <v>3.15</v>
      </c>
      <c r="J528" s="61">
        <f t="shared" si="86"/>
        <v>12.6</v>
      </c>
      <c r="K528" s="54"/>
    </row>
    <row r="529" spans="1:12" ht="38.25" customHeight="1" x14ac:dyDescent="0.2">
      <c r="A529" s="174" t="s">
        <v>190</v>
      </c>
      <c r="B529" s="128" t="s">
        <v>517</v>
      </c>
      <c r="C529" s="301" t="s">
        <v>113</v>
      </c>
      <c r="D529" s="101">
        <v>1</v>
      </c>
      <c r="E529" s="90"/>
      <c r="F529" s="194"/>
      <c r="G529" s="195">
        <f t="shared" si="87"/>
        <v>0</v>
      </c>
      <c r="I529" s="33">
        <f>1.24*1.69</f>
        <v>2.0956000000000001</v>
      </c>
      <c r="J529" s="61">
        <f t="shared" si="86"/>
        <v>2.0956000000000001</v>
      </c>
      <c r="K529" s="54"/>
    </row>
    <row r="530" spans="1:12" ht="36" x14ac:dyDescent="0.2">
      <c r="A530" s="174" t="s">
        <v>191</v>
      </c>
      <c r="B530" s="128" t="s">
        <v>516</v>
      </c>
      <c r="C530" s="301" t="s">
        <v>113</v>
      </c>
      <c r="D530" s="101">
        <v>1</v>
      </c>
      <c r="E530" s="90"/>
      <c r="F530" s="194"/>
      <c r="G530" s="195">
        <f t="shared" si="87"/>
        <v>0</v>
      </c>
      <c r="I530" s="33"/>
      <c r="J530" s="61">
        <f>SUM(J521:J529)</f>
        <v>52.870099999999994</v>
      </c>
      <c r="K530" s="54">
        <f>J522</f>
        <v>8.17</v>
      </c>
      <c r="L530" s="54">
        <f>J530-K530</f>
        <v>44.700099999999992</v>
      </c>
    </row>
    <row r="531" spans="1:12" x14ac:dyDescent="0.2">
      <c r="A531" s="174"/>
      <c r="B531" s="128"/>
      <c r="C531" s="301"/>
      <c r="D531" s="101"/>
      <c r="E531" s="90"/>
      <c r="F531" s="194"/>
      <c r="G531" s="195"/>
      <c r="I531" s="33"/>
      <c r="J531" s="61"/>
      <c r="K531" s="54"/>
      <c r="L531" s="54"/>
    </row>
    <row r="532" spans="1:12" x14ac:dyDescent="0.2">
      <c r="A532" s="174"/>
      <c r="B532" s="128"/>
      <c r="C532" s="301"/>
      <c r="D532" s="101"/>
      <c r="E532" s="90"/>
      <c r="F532" s="194"/>
      <c r="G532" s="195"/>
      <c r="I532" s="33"/>
      <c r="J532" s="61"/>
      <c r="K532" s="54"/>
      <c r="L532" s="54"/>
    </row>
    <row r="533" spans="1:12" ht="12" customHeight="1" x14ac:dyDescent="0.2">
      <c r="A533" s="294"/>
      <c r="B533" s="295" t="s">
        <v>405</v>
      </c>
      <c r="C533" s="296"/>
      <c r="D533" s="297"/>
      <c r="E533" s="298"/>
      <c r="F533" s="299"/>
      <c r="G533" s="300"/>
      <c r="I533" s="33"/>
      <c r="J533" s="61"/>
      <c r="K533" s="33"/>
    </row>
    <row r="534" spans="1:12" ht="24" customHeight="1" x14ac:dyDescent="0.2">
      <c r="A534" s="174" t="s">
        <v>176</v>
      </c>
      <c r="B534" s="128" t="s">
        <v>514</v>
      </c>
      <c r="C534" s="301" t="s">
        <v>113</v>
      </c>
      <c r="D534" s="101">
        <v>6</v>
      </c>
      <c r="E534" s="90"/>
      <c r="F534" s="194"/>
      <c r="G534" s="195">
        <f t="shared" ref="G534:G535" si="88">(D534*E534)+(D534*F534)</f>
        <v>0</v>
      </c>
      <c r="I534" s="33"/>
      <c r="J534" s="61"/>
      <c r="K534" s="33"/>
    </row>
    <row r="535" spans="1:12" ht="25.5" customHeight="1" x14ac:dyDescent="0.2">
      <c r="A535" s="174" t="s">
        <v>177</v>
      </c>
      <c r="B535" s="128" t="s">
        <v>515</v>
      </c>
      <c r="C535" s="301" t="s">
        <v>113</v>
      </c>
      <c r="D535" s="101">
        <v>2</v>
      </c>
      <c r="E535" s="90"/>
      <c r="F535" s="194"/>
      <c r="G535" s="195">
        <f t="shared" si="88"/>
        <v>0</v>
      </c>
      <c r="I535" s="33"/>
      <c r="J535" s="61"/>
      <c r="K535" s="33"/>
    </row>
    <row r="536" spans="1:12" x14ac:dyDescent="0.2">
      <c r="A536" s="174"/>
      <c r="B536" s="128"/>
      <c r="C536" s="96"/>
      <c r="D536" s="101"/>
      <c r="E536" s="90"/>
      <c r="F536" s="91"/>
      <c r="G536" s="92"/>
      <c r="I536" s="54"/>
      <c r="J536" s="33"/>
    </row>
    <row r="537" spans="1:12" ht="12.75" thickBot="1" x14ac:dyDescent="0.25">
      <c r="A537" s="174"/>
      <c r="B537" s="128"/>
      <c r="C537" s="96"/>
      <c r="D537" s="101"/>
      <c r="E537" s="90"/>
      <c r="F537" s="91"/>
      <c r="G537" s="92"/>
      <c r="I537" s="54"/>
      <c r="J537" s="33"/>
    </row>
    <row r="538" spans="1:12" x14ac:dyDescent="0.2">
      <c r="A538" s="395"/>
      <c r="B538" s="147" t="s">
        <v>203</v>
      </c>
      <c r="C538" s="161"/>
      <c r="D538" s="162"/>
      <c r="E538" s="150"/>
      <c r="F538" s="151"/>
      <c r="G538" s="386"/>
    </row>
    <row r="539" spans="1:12" ht="12.75" thickBot="1" x14ac:dyDescent="0.25">
      <c r="A539" s="396"/>
      <c r="B539" s="356" t="s">
        <v>204</v>
      </c>
      <c r="C539" s="397"/>
      <c r="D539" s="398"/>
      <c r="E539" s="365"/>
      <c r="F539" s="358"/>
      <c r="G539" s="360">
        <f>SUM(G508:G538)</f>
        <v>0</v>
      </c>
    </row>
    <row r="540" spans="1:12" x14ac:dyDescent="0.2">
      <c r="A540" s="257"/>
      <c r="B540" s="179"/>
      <c r="C540" s="163"/>
      <c r="D540" s="164"/>
      <c r="E540" s="90"/>
      <c r="F540" s="91"/>
      <c r="G540" s="233"/>
    </row>
    <row r="541" spans="1:12" x14ac:dyDescent="0.2">
      <c r="A541" s="98"/>
      <c r="B541" s="99" t="s">
        <v>205</v>
      </c>
      <c r="C541" s="100"/>
      <c r="D541" s="101"/>
      <c r="E541" s="90"/>
      <c r="F541" s="91"/>
      <c r="G541" s="92"/>
    </row>
    <row r="542" spans="1:12" x14ac:dyDescent="0.2">
      <c r="A542" s="98"/>
      <c r="B542" s="102" t="s">
        <v>175</v>
      </c>
      <c r="C542" s="100"/>
      <c r="D542" s="101"/>
      <c r="E542" s="90"/>
      <c r="F542" s="91"/>
      <c r="G542" s="92"/>
    </row>
    <row r="543" spans="1:12" x14ac:dyDescent="0.2">
      <c r="A543" s="257" t="s">
        <v>111</v>
      </c>
      <c r="B543" s="104" t="s">
        <v>41</v>
      </c>
      <c r="C543" s="100"/>
      <c r="D543" s="101"/>
      <c r="E543" s="90"/>
      <c r="F543" s="91"/>
      <c r="G543" s="92"/>
    </row>
    <row r="544" spans="1:12" ht="62.25" customHeight="1" x14ac:dyDescent="0.2">
      <c r="A544" s="257"/>
      <c r="B544" s="302" t="s">
        <v>270</v>
      </c>
      <c r="C544" s="303"/>
      <c r="D544" s="303"/>
      <c r="E544" s="303"/>
      <c r="F544" s="303"/>
      <c r="G544" s="304"/>
    </row>
    <row r="545" spans="1:9" ht="42.75" customHeight="1" x14ac:dyDescent="0.2">
      <c r="A545" s="257"/>
      <c r="B545" s="305" t="s">
        <v>117</v>
      </c>
      <c r="C545" s="305"/>
      <c r="D545" s="305"/>
      <c r="E545" s="305"/>
      <c r="F545" s="305"/>
      <c r="G545" s="306"/>
      <c r="I545" s="33"/>
    </row>
    <row r="546" spans="1:9" ht="39.75" customHeight="1" x14ac:dyDescent="0.2">
      <c r="A546" s="98"/>
      <c r="B546" s="307" t="s">
        <v>256</v>
      </c>
      <c r="C546" s="307"/>
      <c r="D546" s="307"/>
      <c r="E546" s="307"/>
      <c r="F546" s="307"/>
      <c r="G546" s="308"/>
    </row>
    <row r="547" spans="1:9" x14ac:dyDescent="0.2">
      <c r="A547" s="205" t="s">
        <v>183</v>
      </c>
      <c r="B547" s="309" t="s">
        <v>92</v>
      </c>
      <c r="C547" s="217"/>
      <c r="D547" s="208"/>
      <c r="E547" s="209"/>
      <c r="F547" s="208"/>
      <c r="G547" s="263"/>
    </row>
    <row r="548" spans="1:9" x14ac:dyDescent="0.2">
      <c r="A548" s="290" t="s">
        <v>160</v>
      </c>
      <c r="B548" s="291" t="s">
        <v>518</v>
      </c>
      <c r="C548" s="310"/>
      <c r="D548" s="311"/>
      <c r="E548" s="312"/>
      <c r="F548" s="242"/>
      <c r="G548" s="243"/>
    </row>
    <row r="549" spans="1:9" ht="13.5" x14ac:dyDescent="0.2">
      <c r="A549" s="257"/>
      <c r="B549" s="313" t="s">
        <v>437</v>
      </c>
      <c r="C549" s="88" t="s">
        <v>152</v>
      </c>
      <c r="D549" s="101">
        <f>D418</f>
        <v>102.92</v>
      </c>
      <c r="E549" s="90"/>
      <c r="F549" s="91"/>
      <c r="G549" s="92">
        <f>(D549*E549)+(D549*F549)</f>
        <v>0</v>
      </c>
      <c r="I549" s="54">
        <f>D464+D444</f>
        <v>126.82</v>
      </c>
    </row>
    <row r="550" spans="1:9" ht="13.5" x14ac:dyDescent="0.2">
      <c r="A550" s="257"/>
      <c r="B550" s="313" t="s">
        <v>344</v>
      </c>
      <c r="C550" s="88" t="s">
        <v>152</v>
      </c>
      <c r="D550" s="101">
        <f>D427</f>
        <v>102.92</v>
      </c>
      <c r="E550" s="90"/>
      <c r="F550" s="91"/>
      <c r="G550" s="92"/>
      <c r="I550" s="54">
        <f>D427+12.05</f>
        <v>114.97</v>
      </c>
    </row>
    <row r="551" spans="1:9" x14ac:dyDescent="0.2">
      <c r="A551" s="257"/>
      <c r="B551" s="313"/>
      <c r="C551" s="88"/>
      <c r="D551" s="101"/>
      <c r="E551" s="90"/>
      <c r="F551" s="91"/>
      <c r="G551" s="92"/>
      <c r="I551" s="54"/>
    </row>
    <row r="552" spans="1:9" x14ac:dyDescent="0.2">
      <c r="A552" s="290" t="s">
        <v>161</v>
      </c>
      <c r="B552" s="291" t="s">
        <v>519</v>
      </c>
      <c r="C552" s="310"/>
      <c r="D552" s="311"/>
      <c r="E552" s="312"/>
      <c r="F552" s="242"/>
      <c r="G552" s="243"/>
      <c r="I552" s="54"/>
    </row>
    <row r="553" spans="1:9" ht="13.5" x14ac:dyDescent="0.2">
      <c r="A553" s="257"/>
      <c r="B553" s="313" t="s">
        <v>436</v>
      </c>
      <c r="C553" s="88" t="s">
        <v>152</v>
      </c>
      <c r="D553" s="101">
        <v>7</v>
      </c>
      <c r="E553" s="90"/>
      <c r="F553" s="91"/>
      <c r="G553" s="92">
        <f>(D553*E553)+(D553*F553)</f>
        <v>0</v>
      </c>
      <c r="I553" s="54">
        <f>1.5*1*3+1.65*1.5</f>
        <v>6.9749999999999996</v>
      </c>
    </row>
    <row r="554" spans="1:9" ht="24" x14ac:dyDescent="0.2">
      <c r="A554" s="257"/>
      <c r="B554" s="313" t="s">
        <v>497</v>
      </c>
      <c r="C554" s="88" t="s">
        <v>152</v>
      </c>
      <c r="D554" s="101">
        <v>85.65</v>
      </c>
      <c r="E554" s="90"/>
      <c r="F554" s="91"/>
      <c r="G554" s="92">
        <f t="shared" ref="G554:G555" si="89">(D554*E554)+(D554*F554)</f>
        <v>0</v>
      </c>
      <c r="I554" s="54">
        <f>D429+D430+D431+D428+12.3</f>
        <v>85.649999999999991</v>
      </c>
    </row>
    <row r="555" spans="1:9" ht="13.5" x14ac:dyDescent="0.2">
      <c r="A555" s="257"/>
      <c r="B555" s="313" t="s">
        <v>345</v>
      </c>
      <c r="C555" s="88" t="s">
        <v>152</v>
      </c>
      <c r="D555" s="101">
        <v>29.6</v>
      </c>
      <c r="E555" s="90"/>
      <c r="F555" s="91"/>
      <c r="G555" s="92">
        <f t="shared" si="89"/>
        <v>0</v>
      </c>
      <c r="I555" s="22">
        <f>19.4*0.762*2</f>
        <v>29.5656</v>
      </c>
    </row>
    <row r="556" spans="1:9" x14ac:dyDescent="0.2">
      <c r="A556" s="257"/>
      <c r="B556" s="313"/>
      <c r="C556" s="88"/>
      <c r="D556" s="101"/>
      <c r="E556" s="90"/>
      <c r="F556" s="91"/>
      <c r="G556" s="92"/>
    </row>
    <row r="557" spans="1:9" x14ac:dyDescent="0.2">
      <c r="A557" s="205" t="s">
        <v>361</v>
      </c>
      <c r="B557" s="309" t="s">
        <v>362</v>
      </c>
      <c r="C557" s="217"/>
      <c r="D557" s="208"/>
      <c r="E557" s="209"/>
      <c r="F557" s="208"/>
      <c r="G557" s="263"/>
    </row>
    <row r="558" spans="1:9" ht="24" x14ac:dyDescent="0.2">
      <c r="A558" s="98" t="s">
        <v>176</v>
      </c>
      <c r="B558" s="313" t="s">
        <v>520</v>
      </c>
      <c r="C558" s="88" t="s">
        <v>359</v>
      </c>
      <c r="D558" s="101">
        <v>40</v>
      </c>
      <c r="E558" s="90"/>
      <c r="F558" s="91"/>
      <c r="G558" s="92">
        <f t="shared" ref="G558" si="90">(D558*E558)+(D558*F558)</f>
        <v>0</v>
      </c>
      <c r="I558" s="22">
        <f>19.4*2</f>
        <v>38.799999999999997</v>
      </c>
    </row>
    <row r="559" spans="1:9" x14ac:dyDescent="0.2">
      <c r="A559" s="98"/>
      <c r="B559" s="313"/>
      <c r="C559" s="88"/>
      <c r="D559" s="101"/>
      <c r="E559" s="90"/>
      <c r="F559" s="91"/>
      <c r="G559" s="92"/>
    </row>
    <row r="560" spans="1:9" x14ac:dyDescent="0.2">
      <c r="A560" s="98"/>
      <c r="B560" s="313"/>
      <c r="C560" s="88"/>
      <c r="D560" s="101"/>
      <c r="E560" s="90"/>
      <c r="F560" s="91"/>
      <c r="G560" s="92"/>
    </row>
    <row r="561" spans="1:11" x14ac:dyDescent="0.2">
      <c r="A561" s="98"/>
      <c r="B561" s="313"/>
      <c r="C561" s="88"/>
      <c r="D561" s="101"/>
      <c r="E561" s="90"/>
      <c r="F561" s="91"/>
      <c r="G561" s="92"/>
    </row>
    <row r="562" spans="1:11" ht="12.75" thickBot="1" x14ac:dyDescent="0.25">
      <c r="A562" s="98"/>
      <c r="B562" s="313"/>
      <c r="C562" s="88"/>
      <c r="D562" s="101"/>
      <c r="E562" s="90"/>
      <c r="F562" s="91"/>
      <c r="G562" s="92"/>
    </row>
    <row r="563" spans="1:11" x14ac:dyDescent="0.2">
      <c r="A563" s="137"/>
      <c r="B563" s="147" t="s">
        <v>206</v>
      </c>
      <c r="C563" s="148"/>
      <c r="D563" s="149"/>
      <c r="E563" s="150"/>
      <c r="F563" s="151"/>
      <c r="G563" s="386"/>
    </row>
    <row r="564" spans="1:11" ht="13.5" customHeight="1" thickBot="1" x14ac:dyDescent="0.25">
      <c r="A564" s="362"/>
      <c r="B564" s="356" t="s">
        <v>114</v>
      </c>
      <c r="C564" s="368"/>
      <c r="D564" s="364"/>
      <c r="E564" s="365"/>
      <c r="F564" s="358"/>
      <c r="G564" s="360">
        <f>SUM(G549:G554)</f>
        <v>0</v>
      </c>
    </row>
    <row r="565" spans="1:11" ht="13.5" customHeight="1" x14ac:dyDescent="0.2">
      <c r="A565" s="98"/>
      <c r="B565" s="179"/>
      <c r="C565" s="100"/>
      <c r="D565" s="101"/>
      <c r="E565" s="90"/>
      <c r="F565" s="91"/>
      <c r="G565" s="233"/>
    </row>
    <row r="566" spans="1:11" x14ac:dyDescent="0.2">
      <c r="A566" s="98"/>
      <c r="B566" s="99" t="s">
        <v>115</v>
      </c>
      <c r="C566" s="100"/>
      <c r="D566" s="101"/>
      <c r="E566" s="90"/>
      <c r="F566" s="91"/>
      <c r="G566" s="92"/>
    </row>
    <row r="567" spans="1:11" x14ac:dyDescent="0.2">
      <c r="A567" s="98"/>
      <c r="B567" s="102" t="s">
        <v>94</v>
      </c>
      <c r="C567" s="100"/>
      <c r="D567" s="101"/>
      <c r="E567" s="90"/>
      <c r="F567" s="91"/>
      <c r="G567" s="92"/>
    </row>
    <row r="568" spans="1:11" x14ac:dyDescent="0.2">
      <c r="A568" s="257" t="s">
        <v>116</v>
      </c>
      <c r="B568" s="104" t="s">
        <v>41</v>
      </c>
      <c r="C568" s="100" t="s">
        <v>59</v>
      </c>
      <c r="D568" s="101"/>
      <c r="E568" s="90"/>
      <c r="F568" s="91"/>
      <c r="G568" s="92"/>
      <c r="I568" s="35"/>
      <c r="J568" s="30">
        <v>80.599999999999994</v>
      </c>
      <c r="K568" s="30"/>
    </row>
    <row r="569" spans="1:11" s="37" customFormat="1" ht="76.5" customHeight="1" x14ac:dyDescent="0.2">
      <c r="A569" s="174"/>
      <c r="B569" s="178" t="s">
        <v>291</v>
      </c>
      <c r="C569" s="200"/>
      <c r="D569" s="200"/>
      <c r="E569" s="200"/>
      <c r="F569" s="200"/>
      <c r="G569" s="314"/>
      <c r="I569" s="35"/>
      <c r="J569" s="47"/>
      <c r="K569" s="30"/>
    </row>
    <row r="570" spans="1:11" s="37" customFormat="1" ht="29.25" customHeight="1" x14ac:dyDescent="0.2">
      <c r="A570" s="174"/>
      <c r="B570" s="178" t="s">
        <v>289</v>
      </c>
      <c r="C570" s="200"/>
      <c r="D570" s="200"/>
      <c r="E570" s="200"/>
      <c r="F570" s="200"/>
      <c r="G570" s="314"/>
      <c r="I570" s="35"/>
      <c r="J570" s="30">
        <v>168.85</v>
      </c>
      <c r="K570" s="30"/>
    </row>
    <row r="571" spans="1:11" s="37" customFormat="1" ht="50.25" customHeight="1" x14ac:dyDescent="0.2">
      <c r="A571" s="174"/>
      <c r="B571" s="178" t="s">
        <v>290</v>
      </c>
      <c r="C571" s="200"/>
      <c r="D571" s="200"/>
      <c r="E571" s="200"/>
      <c r="F571" s="200"/>
      <c r="G571" s="314"/>
      <c r="I571" s="35"/>
      <c r="J571" s="47"/>
      <c r="K571" s="30"/>
    </row>
    <row r="572" spans="1:11" s="37" customFormat="1" ht="66.75" customHeight="1" x14ac:dyDescent="0.2">
      <c r="A572" s="174"/>
      <c r="B572" s="178" t="s">
        <v>169</v>
      </c>
      <c r="C572" s="200"/>
      <c r="D572" s="200"/>
      <c r="E572" s="200"/>
      <c r="F572" s="200"/>
      <c r="G572" s="314"/>
      <c r="I572" s="42"/>
      <c r="J572" s="30">
        <v>139</v>
      </c>
      <c r="K572" s="43"/>
    </row>
    <row r="573" spans="1:11" x14ac:dyDescent="0.2">
      <c r="A573" s="290" t="s">
        <v>160</v>
      </c>
      <c r="B573" s="291" t="s">
        <v>67</v>
      </c>
      <c r="C573" s="292"/>
      <c r="D573" s="293"/>
      <c r="E573" s="281"/>
      <c r="F573" s="242"/>
      <c r="G573" s="243"/>
      <c r="I573" s="30"/>
      <c r="J573" s="43"/>
      <c r="K573" s="30"/>
    </row>
    <row r="574" spans="1:11" ht="24" x14ac:dyDescent="0.2">
      <c r="A574" s="98"/>
      <c r="B574" s="315" t="s">
        <v>121</v>
      </c>
      <c r="C574" s="129" t="s">
        <v>152</v>
      </c>
      <c r="D574" s="101">
        <f>D378</f>
        <v>224</v>
      </c>
      <c r="E574" s="90"/>
      <c r="F574" s="91"/>
      <c r="G574" s="92">
        <f t="shared" ref="G574:G576" si="91">(D574*E574)+(D574*F574)</f>
        <v>0</v>
      </c>
      <c r="I574" s="30"/>
      <c r="J574" s="47"/>
      <c r="K574" s="30"/>
    </row>
    <row r="575" spans="1:11" ht="14.25" customHeight="1" x14ac:dyDescent="0.2">
      <c r="A575" s="98"/>
      <c r="B575" s="315" t="s">
        <v>122</v>
      </c>
      <c r="C575" s="129" t="s">
        <v>152</v>
      </c>
      <c r="D575" s="101">
        <f>D381</f>
        <v>408.95</v>
      </c>
      <c r="E575" s="90"/>
      <c r="F575" s="91"/>
      <c r="G575" s="92">
        <f t="shared" si="91"/>
        <v>0</v>
      </c>
      <c r="I575" s="30"/>
      <c r="J575" s="30">
        <v>143.19999999999999</v>
      </c>
      <c r="K575" s="30"/>
    </row>
    <row r="576" spans="1:11" ht="13.5" x14ac:dyDescent="0.2">
      <c r="A576" s="98"/>
      <c r="B576" s="315" t="s">
        <v>123</v>
      </c>
      <c r="C576" s="129" t="s">
        <v>152</v>
      </c>
      <c r="D576" s="101">
        <f>D419+D420+D421+14.25+D424</f>
        <v>100.03999999999999</v>
      </c>
      <c r="E576" s="90"/>
      <c r="F576" s="91"/>
      <c r="G576" s="92">
        <f t="shared" si="91"/>
        <v>0</v>
      </c>
      <c r="I576" s="30">
        <f>D446+D444+D451+14</f>
        <v>96.240000000000009</v>
      </c>
      <c r="J576" s="47"/>
      <c r="K576" s="30"/>
    </row>
    <row r="577" spans="1:11" x14ac:dyDescent="0.2">
      <c r="A577" s="98"/>
      <c r="B577" s="315"/>
      <c r="C577" s="129"/>
      <c r="D577" s="101"/>
      <c r="E577" s="90"/>
      <c r="F577" s="91"/>
      <c r="G577" s="92"/>
      <c r="I577" s="43"/>
      <c r="J577" s="30"/>
      <c r="K577" s="30"/>
    </row>
    <row r="578" spans="1:11" x14ac:dyDescent="0.2">
      <c r="A578" s="290" t="s">
        <v>161</v>
      </c>
      <c r="B578" s="291" t="s">
        <v>69</v>
      </c>
      <c r="C578" s="292"/>
      <c r="D578" s="293"/>
      <c r="E578" s="281"/>
      <c r="F578" s="242"/>
      <c r="G578" s="243"/>
      <c r="I578" s="30"/>
      <c r="J578" s="43"/>
      <c r="K578" s="30"/>
    </row>
    <row r="579" spans="1:11" ht="24" x14ac:dyDescent="0.2">
      <c r="A579" s="98"/>
      <c r="B579" s="315" t="s">
        <v>121</v>
      </c>
      <c r="C579" s="129" t="s">
        <v>152</v>
      </c>
      <c r="D579" s="101">
        <f>D385</f>
        <v>254.02</v>
      </c>
      <c r="E579" s="90"/>
      <c r="F579" s="91"/>
      <c r="G579" s="92">
        <f t="shared" ref="G579:G581" si="92">(D579*E579)+(D579*F579)</f>
        <v>0</v>
      </c>
      <c r="I579" s="30"/>
      <c r="J579" s="47"/>
      <c r="K579" s="30"/>
    </row>
    <row r="580" spans="1:11" ht="13.5" customHeight="1" x14ac:dyDescent="0.2">
      <c r="A580" s="98"/>
      <c r="B580" s="315" t="s">
        <v>122</v>
      </c>
      <c r="C580" s="129" t="s">
        <v>152</v>
      </c>
      <c r="D580" s="101">
        <f>D387</f>
        <v>441.65</v>
      </c>
      <c r="E580" s="90"/>
      <c r="F580" s="91"/>
      <c r="G580" s="92">
        <f t="shared" si="92"/>
        <v>0</v>
      </c>
      <c r="I580" s="30"/>
      <c r="J580" s="30">
        <v>143.19999999999999</v>
      </c>
      <c r="K580" s="30"/>
    </row>
    <row r="581" spans="1:11" ht="13.5" x14ac:dyDescent="0.2">
      <c r="A581" s="98"/>
      <c r="B581" s="315" t="s">
        <v>123</v>
      </c>
      <c r="C581" s="129" t="s">
        <v>152</v>
      </c>
      <c r="D581" s="101">
        <f>D428+D429+D430+D431+12.66</f>
        <v>86.009999999999991</v>
      </c>
      <c r="E581" s="90"/>
      <c r="F581" s="91"/>
      <c r="G581" s="92">
        <f t="shared" si="92"/>
        <v>0</v>
      </c>
      <c r="I581" s="54" t="e">
        <f>D431+#REF!+D428+12.5</f>
        <v>#REF!</v>
      </c>
      <c r="J581" s="47">
        <f>D553</f>
        <v>7</v>
      </c>
      <c r="K581" s="30"/>
    </row>
    <row r="582" spans="1:11" x14ac:dyDescent="0.2">
      <c r="A582" s="290" t="s">
        <v>57</v>
      </c>
      <c r="B582" s="291" t="s">
        <v>282</v>
      </c>
      <c r="C582" s="292"/>
      <c r="D582" s="293"/>
      <c r="E582" s="281"/>
      <c r="F582" s="242"/>
      <c r="G582" s="243"/>
      <c r="J582" s="30"/>
    </row>
    <row r="583" spans="1:11" ht="24" x14ac:dyDescent="0.2">
      <c r="A583" s="98"/>
      <c r="B583" s="315" t="s">
        <v>121</v>
      </c>
      <c r="C583" s="129" t="s">
        <v>152</v>
      </c>
      <c r="D583" s="101">
        <f>D391</f>
        <v>23.1</v>
      </c>
      <c r="E583" s="90"/>
      <c r="F583" s="91"/>
      <c r="G583" s="92">
        <f t="shared" ref="G583:G585" si="93">(D583*E583)+(D583*F583)</f>
        <v>0</v>
      </c>
      <c r="J583" s="30"/>
    </row>
    <row r="584" spans="1:11" ht="13.5" x14ac:dyDescent="0.2">
      <c r="A584" s="98"/>
      <c r="B584" s="315" t="s">
        <v>122</v>
      </c>
      <c r="C584" s="129" t="s">
        <v>152</v>
      </c>
      <c r="D584" s="101">
        <f>D393</f>
        <v>23.1</v>
      </c>
      <c r="E584" s="90"/>
      <c r="F584" s="91"/>
      <c r="G584" s="92">
        <f t="shared" si="93"/>
        <v>0</v>
      </c>
      <c r="J584" s="30"/>
    </row>
    <row r="585" spans="1:11" ht="13.5" x14ac:dyDescent="0.2">
      <c r="A585" s="98"/>
      <c r="B585" s="315" t="s">
        <v>347</v>
      </c>
      <c r="C585" s="129" t="s">
        <v>152</v>
      </c>
      <c r="D585" s="101">
        <f>D555</f>
        <v>29.6</v>
      </c>
      <c r="E585" s="90"/>
      <c r="F585" s="91"/>
      <c r="G585" s="92">
        <f t="shared" si="93"/>
        <v>0</v>
      </c>
      <c r="J585" s="30"/>
    </row>
    <row r="586" spans="1:11" x14ac:dyDescent="0.2">
      <c r="A586" s="98"/>
      <c r="B586" s="315"/>
      <c r="C586" s="129"/>
      <c r="D586" s="101"/>
      <c r="E586" s="90"/>
      <c r="F586" s="91"/>
      <c r="G586" s="92"/>
      <c r="J586" s="66"/>
    </row>
    <row r="587" spans="1:11" x14ac:dyDescent="0.2">
      <c r="A587" s="98"/>
      <c r="B587" s="315"/>
      <c r="C587" s="129"/>
      <c r="D587" s="101"/>
      <c r="E587" s="90"/>
      <c r="F587" s="91"/>
      <c r="G587" s="92"/>
      <c r="J587" s="66"/>
    </row>
    <row r="588" spans="1:11" x14ac:dyDescent="0.2">
      <c r="A588" s="98"/>
      <c r="B588" s="315"/>
      <c r="C588" s="129"/>
      <c r="D588" s="101"/>
      <c r="E588" s="90"/>
      <c r="F588" s="91"/>
      <c r="G588" s="92"/>
      <c r="J588" s="66"/>
    </row>
    <row r="589" spans="1:11" x14ac:dyDescent="0.2">
      <c r="A589" s="98"/>
      <c r="B589" s="315"/>
      <c r="C589" s="129"/>
      <c r="D589" s="101"/>
      <c r="E589" s="90"/>
      <c r="F589" s="91"/>
      <c r="G589" s="92"/>
      <c r="J589" s="66"/>
    </row>
    <row r="590" spans="1:11" x14ac:dyDescent="0.2">
      <c r="A590" s="98"/>
      <c r="B590" s="315"/>
      <c r="C590" s="129"/>
      <c r="D590" s="101"/>
      <c r="E590" s="90"/>
      <c r="F590" s="91"/>
      <c r="G590" s="92"/>
      <c r="J590" s="66"/>
    </row>
    <row r="591" spans="1:11" x14ac:dyDescent="0.2">
      <c r="A591" s="98"/>
      <c r="B591" s="315"/>
      <c r="C591" s="129"/>
      <c r="D591" s="101"/>
      <c r="E591" s="90"/>
      <c r="F591" s="91"/>
      <c r="G591" s="92"/>
      <c r="J591" s="66"/>
    </row>
    <row r="592" spans="1:11" x14ac:dyDescent="0.2">
      <c r="A592" s="98"/>
      <c r="B592" s="315"/>
      <c r="C592" s="129"/>
      <c r="D592" s="101"/>
      <c r="E592" s="90"/>
      <c r="F592" s="91"/>
      <c r="G592" s="92"/>
      <c r="J592" s="66"/>
    </row>
    <row r="593" spans="1:10" x14ac:dyDescent="0.2">
      <c r="A593" s="98"/>
      <c r="B593" s="315"/>
      <c r="C593" s="129"/>
      <c r="D593" s="101"/>
      <c r="E593" s="90"/>
      <c r="F593" s="91"/>
      <c r="G593" s="92"/>
      <c r="J593" s="66"/>
    </row>
    <row r="594" spans="1:10" x14ac:dyDescent="0.2">
      <c r="A594" s="98"/>
      <c r="B594" s="315"/>
      <c r="C594" s="129"/>
      <c r="D594" s="101"/>
      <c r="E594" s="90"/>
      <c r="F594" s="91"/>
      <c r="G594" s="92"/>
      <c r="J594" s="66"/>
    </row>
    <row r="595" spans="1:10" x14ac:dyDescent="0.2">
      <c r="A595" s="98"/>
      <c r="B595" s="315"/>
      <c r="C595" s="129"/>
      <c r="D595" s="101"/>
      <c r="E595" s="90"/>
      <c r="F595" s="91"/>
      <c r="G595" s="92"/>
      <c r="J595" s="66"/>
    </row>
    <row r="596" spans="1:10" x14ac:dyDescent="0.2">
      <c r="A596" s="98"/>
      <c r="B596" s="315"/>
      <c r="C596" s="129"/>
      <c r="D596" s="101"/>
      <c r="E596" s="90"/>
      <c r="F596" s="91"/>
      <c r="G596" s="92"/>
      <c r="J596" s="66"/>
    </row>
    <row r="597" spans="1:10" x14ac:dyDescent="0.2">
      <c r="A597" s="98"/>
      <c r="B597" s="315"/>
      <c r="C597" s="129"/>
      <c r="D597" s="101"/>
      <c r="E597" s="90"/>
      <c r="F597" s="91"/>
      <c r="G597" s="92"/>
      <c r="J597" s="66"/>
    </row>
    <row r="598" spans="1:10" x14ac:dyDescent="0.2">
      <c r="A598" s="98"/>
      <c r="B598" s="315"/>
      <c r="C598" s="129"/>
      <c r="D598" s="101"/>
      <c r="E598" s="90"/>
      <c r="F598" s="91"/>
      <c r="G598" s="92"/>
      <c r="J598" s="66"/>
    </row>
    <row r="599" spans="1:10" x14ac:dyDescent="0.2">
      <c r="A599" s="98"/>
      <c r="B599" s="315"/>
      <c r="C599" s="129"/>
      <c r="D599" s="101"/>
      <c r="E599" s="90"/>
      <c r="F599" s="91"/>
      <c r="G599" s="92"/>
      <c r="J599" s="66"/>
    </row>
    <row r="600" spans="1:10" x14ac:dyDescent="0.2">
      <c r="A600" s="98"/>
      <c r="B600" s="315"/>
      <c r="C600" s="129"/>
      <c r="D600" s="101"/>
      <c r="E600" s="90"/>
      <c r="F600" s="91"/>
      <c r="G600" s="92"/>
      <c r="J600" s="66"/>
    </row>
    <row r="601" spans="1:10" x14ac:dyDescent="0.2">
      <c r="A601" s="98"/>
      <c r="B601" s="315"/>
      <c r="C601" s="129"/>
      <c r="D601" s="101"/>
      <c r="E601" s="90"/>
      <c r="F601" s="91"/>
      <c r="G601" s="92"/>
      <c r="J601" s="66"/>
    </row>
    <row r="602" spans="1:10" ht="12.75" thickBot="1" x14ac:dyDescent="0.25">
      <c r="A602" s="98"/>
      <c r="B602" s="315"/>
      <c r="C602" s="129"/>
      <c r="D602" s="101"/>
      <c r="E602" s="90"/>
      <c r="F602" s="91"/>
      <c r="G602" s="92"/>
      <c r="J602" s="66"/>
    </row>
    <row r="603" spans="1:10" x14ac:dyDescent="0.2">
      <c r="A603" s="137"/>
      <c r="B603" s="147" t="s">
        <v>207</v>
      </c>
      <c r="C603" s="148"/>
      <c r="D603" s="149"/>
      <c r="E603" s="150"/>
      <c r="F603" s="151"/>
      <c r="G603" s="386"/>
    </row>
    <row r="604" spans="1:10" ht="12.75" thickBot="1" x14ac:dyDescent="0.25">
      <c r="A604" s="362"/>
      <c r="B604" s="356" t="s">
        <v>118</v>
      </c>
      <c r="C604" s="368"/>
      <c r="D604" s="364"/>
      <c r="E604" s="365"/>
      <c r="F604" s="358"/>
      <c r="G604" s="360">
        <f>SUM(G574:G581)</f>
        <v>0</v>
      </c>
    </row>
    <row r="605" spans="1:10" x14ac:dyDescent="0.2">
      <c r="A605" s="98"/>
      <c r="B605" s="179"/>
      <c r="C605" s="100"/>
      <c r="D605" s="101"/>
      <c r="E605" s="90"/>
      <c r="F605" s="91"/>
      <c r="G605" s="233"/>
    </row>
    <row r="606" spans="1:10" x14ac:dyDescent="0.2">
      <c r="A606" s="98"/>
      <c r="B606" s="99" t="s">
        <v>119</v>
      </c>
      <c r="C606" s="100"/>
      <c r="D606" s="101"/>
      <c r="E606" s="90"/>
      <c r="F606" s="91"/>
      <c r="G606" s="92"/>
    </row>
    <row r="607" spans="1:10" x14ac:dyDescent="0.2">
      <c r="A607" s="98"/>
      <c r="B607" s="102" t="s">
        <v>96</v>
      </c>
      <c r="C607" s="100"/>
      <c r="D607" s="101"/>
      <c r="E607" s="90"/>
      <c r="F607" s="91"/>
      <c r="G607" s="92"/>
    </row>
    <row r="608" spans="1:10" x14ac:dyDescent="0.2">
      <c r="A608" s="257" t="s">
        <v>120</v>
      </c>
      <c r="B608" s="104" t="s">
        <v>41</v>
      </c>
      <c r="C608" s="100"/>
      <c r="D608" s="101"/>
      <c r="E608" s="90"/>
      <c r="F608" s="91"/>
      <c r="G608" s="92"/>
    </row>
    <row r="609" spans="1:10" s="37" customFormat="1" ht="53.25" customHeight="1" x14ac:dyDescent="0.25">
      <c r="A609" s="174"/>
      <c r="B609" s="178" t="s">
        <v>149</v>
      </c>
      <c r="C609" s="178"/>
      <c r="D609" s="178"/>
      <c r="E609" s="178"/>
      <c r="F609" s="178"/>
      <c r="G609" s="236"/>
    </row>
    <row r="610" spans="1:10" x14ac:dyDescent="0.2">
      <c r="A610" s="205" t="s">
        <v>184</v>
      </c>
      <c r="B610" s="206" t="s">
        <v>127</v>
      </c>
      <c r="C610" s="217"/>
      <c r="D610" s="208"/>
      <c r="E610" s="209"/>
      <c r="F610" s="208"/>
      <c r="G610" s="263"/>
    </row>
    <row r="611" spans="1:10" x14ac:dyDescent="0.2">
      <c r="A611" s="290" t="s">
        <v>160</v>
      </c>
      <c r="B611" s="316" t="s">
        <v>67</v>
      </c>
      <c r="C611" s="317"/>
      <c r="D611" s="293"/>
      <c r="E611" s="281"/>
      <c r="F611" s="293"/>
      <c r="G611" s="318"/>
    </row>
    <row r="612" spans="1:10" x14ac:dyDescent="0.2">
      <c r="A612" s="319" t="s">
        <v>176</v>
      </c>
      <c r="B612" s="320" t="s">
        <v>276</v>
      </c>
      <c r="C612" s="321" t="s">
        <v>113</v>
      </c>
      <c r="D612" s="322"/>
      <c r="E612" s="323"/>
      <c r="F612" s="232"/>
      <c r="G612" s="233"/>
    </row>
    <row r="613" spans="1:10" ht="27" customHeight="1" x14ac:dyDescent="0.2">
      <c r="A613" s="257" t="s">
        <v>470</v>
      </c>
      <c r="B613" s="128" t="s">
        <v>378</v>
      </c>
      <c r="C613" s="301" t="s">
        <v>128</v>
      </c>
      <c r="D613" s="101">
        <v>9</v>
      </c>
      <c r="E613" s="90"/>
      <c r="F613" s="91"/>
      <c r="G613" s="92">
        <f>(D613*E613)+(D613*F613)</f>
        <v>0</v>
      </c>
    </row>
    <row r="614" spans="1:10" ht="40.5" customHeight="1" x14ac:dyDescent="0.2">
      <c r="A614" s="257" t="s">
        <v>471</v>
      </c>
      <c r="B614" s="128" t="s">
        <v>379</v>
      </c>
      <c r="C614" s="301" t="s">
        <v>128</v>
      </c>
      <c r="D614" s="101">
        <v>7</v>
      </c>
      <c r="E614" s="90"/>
      <c r="F614" s="91"/>
      <c r="G614" s="92">
        <f>(D614*E614)+(D614*F614)</f>
        <v>0</v>
      </c>
      <c r="I614" s="22">
        <f>3.6*4</f>
        <v>14.4</v>
      </c>
    </row>
    <row r="615" spans="1:10" x14ac:dyDescent="0.2">
      <c r="A615" s="290" t="s">
        <v>161</v>
      </c>
      <c r="B615" s="316" t="s">
        <v>69</v>
      </c>
      <c r="C615" s="317"/>
      <c r="D615" s="293"/>
      <c r="E615" s="281"/>
      <c r="F615" s="293"/>
      <c r="G615" s="318"/>
    </row>
    <row r="616" spans="1:10" ht="11.25" customHeight="1" x14ac:dyDescent="0.2">
      <c r="A616" s="319" t="s">
        <v>176</v>
      </c>
      <c r="B616" s="320" t="s">
        <v>346</v>
      </c>
      <c r="C616" s="321" t="s">
        <v>113</v>
      </c>
      <c r="D616" s="322"/>
      <c r="E616" s="323"/>
      <c r="F616" s="232"/>
      <c r="G616" s="233"/>
    </row>
    <row r="617" spans="1:10" ht="25.5" customHeight="1" x14ac:dyDescent="0.2">
      <c r="A617" s="257"/>
      <c r="B617" s="128" t="s">
        <v>445</v>
      </c>
      <c r="C617" s="301" t="s">
        <v>128</v>
      </c>
      <c r="D617" s="101">
        <v>21.6</v>
      </c>
      <c r="E617" s="90"/>
      <c r="F617" s="91"/>
      <c r="G617" s="92">
        <f>(D617*E617)+(D617*F617)</f>
        <v>0</v>
      </c>
    </row>
    <row r="618" spans="1:10" x14ac:dyDescent="0.2">
      <c r="A618" s="205" t="s">
        <v>184</v>
      </c>
      <c r="B618" s="206" t="s">
        <v>348</v>
      </c>
      <c r="C618" s="217"/>
      <c r="D618" s="208"/>
      <c r="E618" s="209"/>
      <c r="F618" s="208"/>
      <c r="G618" s="263"/>
    </row>
    <row r="619" spans="1:10" ht="50.25" customHeight="1" x14ac:dyDescent="0.2">
      <c r="A619" s="98" t="s">
        <v>176</v>
      </c>
      <c r="B619" s="128" t="s">
        <v>438</v>
      </c>
      <c r="C619" s="301"/>
      <c r="D619" s="101"/>
      <c r="E619" s="90"/>
      <c r="F619" s="91"/>
      <c r="G619" s="92">
        <f t="shared" ref="G619:G622" si="94">(D619*E619)+(D619*F619)</f>
        <v>0</v>
      </c>
    </row>
    <row r="620" spans="1:10" ht="14.25" customHeight="1" x14ac:dyDescent="0.2">
      <c r="A620" s="257"/>
      <c r="B620" s="128" t="s">
        <v>498</v>
      </c>
      <c r="C620" s="301" t="s">
        <v>113</v>
      </c>
      <c r="D620" s="101">
        <v>14</v>
      </c>
      <c r="E620" s="90"/>
      <c r="F620" s="91"/>
      <c r="G620" s="92">
        <f t="shared" si="94"/>
        <v>0</v>
      </c>
    </row>
    <row r="621" spans="1:10" ht="36.75" customHeight="1" x14ac:dyDescent="0.2">
      <c r="A621" s="98" t="s">
        <v>177</v>
      </c>
      <c r="B621" s="128" t="s">
        <v>363</v>
      </c>
      <c r="C621" s="301" t="s">
        <v>349</v>
      </c>
      <c r="D621" s="101">
        <v>19.399999999999999</v>
      </c>
      <c r="E621" s="90"/>
      <c r="F621" s="91"/>
      <c r="G621" s="92">
        <f t="shared" si="94"/>
        <v>0</v>
      </c>
    </row>
    <row r="622" spans="1:10" ht="25.5" customHeight="1" x14ac:dyDescent="0.2">
      <c r="A622" s="98" t="s">
        <v>350</v>
      </c>
      <c r="B622" s="432" t="s">
        <v>521</v>
      </c>
      <c r="C622" s="301" t="s">
        <v>349</v>
      </c>
      <c r="D622" s="433">
        <v>465.6</v>
      </c>
      <c r="E622" s="90"/>
      <c r="F622" s="91"/>
      <c r="G622" s="92">
        <f t="shared" si="94"/>
        <v>0</v>
      </c>
      <c r="I622" s="22">
        <f>19.4*8*2</f>
        <v>310.39999999999998</v>
      </c>
      <c r="J622" s="22">
        <f>I622*105%</f>
        <v>325.92</v>
      </c>
    </row>
    <row r="623" spans="1:10" ht="25.5" customHeight="1" x14ac:dyDescent="0.2">
      <c r="A623" s="98" t="s">
        <v>351</v>
      </c>
      <c r="B623" s="128" t="s">
        <v>357</v>
      </c>
      <c r="C623" s="129" t="s">
        <v>152</v>
      </c>
      <c r="D623" s="101">
        <v>256.51</v>
      </c>
      <c r="E623" s="90"/>
      <c r="F623" s="91"/>
      <c r="G623" s="92">
        <f t="shared" ref="G623" si="95">(D623*E623)+(D623*F623)</f>
        <v>0</v>
      </c>
      <c r="I623" s="22">
        <f>19.4*6.611*2</f>
        <v>256.5068</v>
      </c>
    </row>
    <row r="624" spans="1:10" ht="36" x14ac:dyDescent="0.2">
      <c r="A624" s="98" t="s">
        <v>353</v>
      </c>
      <c r="B624" s="128" t="s">
        <v>352</v>
      </c>
      <c r="C624" s="129" t="s">
        <v>152</v>
      </c>
      <c r="D624" s="101">
        <f>D623</f>
        <v>256.51</v>
      </c>
      <c r="E624" s="90"/>
      <c r="F624" s="91"/>
      <c r="G624" s="92">
        <f t="shared" ref="G624" si="96">(D624*E624)+(D624*F624)</f>
        <v>0</v>
      </c>
    </row>
    <row r="625" spans="1:9" ht="27" customHeight="1" x14ac:dyDescent="0.2">
      <c r="A625" s="98" t="s">
        <v>354</v>
      </c>
      <c r="B625" s="128" t="s">
        <v>355</v>
      </c>
      <c r="C625" s="129" t="s">
        <v>152</v>
      </c>
      <c r="D625" s="101">
        <f>D623</f>
        <v>256.51</v>
      </c>
      <c r="E625" s="90"/>
      <c r="F625" s="91"/>
      <c r="G625" s="92">
        <f t="shared" ref="G625" si="97">(D625*E625)+(D625*F625)</f>
        <v>0</v>
      </c>
    </row>
    <row r="626" spans="1:9" ht="25.5" customHeight="1" x14ac:dyDescent="0.2">
      <c r="A626" s="98" t="s">
        <v>356</v>
      </c>
      <c r="B626" s="128" t="s">
        <v>358</v>
      </c>
      <c r="C626" s="129" t="s">
        <v>359</v>
      </c>
      <c r="D626" s="101">
        <v>20</v>
      </c>
      <c r="E626" s="90"/>
      <c r="F626" s="91"/>
      <c r="G626" s="92">
        <f t="shared" ref="G626" si="98">(D626*E626)+(D626*F626)</f>
        <v>0</v>
      </c>
    </row>
    <row r="627" spans="1:9" ht="26.25" customHeight="1" x14ac:dyDescent="0.2">
      <c r="A627" s="98" t="s">
        <v>195</v>
      </c>
      <c r="B627" s="128" t="s">
        <v>360</v>
      </c>
      <c r="C627" s="129" t="s">
        <v>359</v>
      </c>
      <c r="D627" s="101">
        <v>27</v>
      </c>
      <c r="E627" s="90"/>
      <c r="F627" s="91"/>
      <c r="G627" s="92">
        <f t="shared" ref="G627" si="99">(D627*E627)+(D627*F627)</f>
        <v>0</v>
      </c>
      <c r="I627" s="22">
        <f>6.7*4</f>
        <v>26.8</v>
      </c>
    </row>
    <row r="628" spans="1:9" ht="29.25" customHeight="1" x14ac:dyDescent="0.2">
      <c r="A628" s="98" t="s">
        <v>196</v>
      </c>
      <c r="B628" s="128" t="s">
        <v>522</v>
      </c>
      <c r="C628" s="129" t="s">
        <v>359</v>
      </c>
      <c r="D628" s="101">
        <v>39</v>
      </c>
      <c r="E628" s="90"/>
      <c r="F628" s="91"/>
      <c r="G628" s="92">
        <f t="shared" ref="G628" si="100">(D628*E628)+(D628*F628)</f>
        <v>0</v>
      </c>
      <c r="I628" s="22">
        <f>19.4*2</f>
        <v>38.799999999999997</v>
      </c>
    </row>
    <row r="629" spans="1:9" x14ac:dyDescent="0.2">
      <c r="A629" s="98"/>
      <c r="B629" s="128"/>
      <c r="C629" s="129"/>
      <c r="D629" s="101"/>
      <c r="E629" s="90"/>
      <c r="F629" s="91"/>
      <c r="G629" s="92"/>
    </row>
    <row r="630" spans="1:9" x14ac:dyDescent="0.2">
      <c r="A630" s="98"/>
      <c r="B630" s="128"/>
      <c r="C630" s="129"/>
      <c r="D630" s="101"/>
      <c r="E630" s="90"/>
      <c r="F630" s="91"/>
      <c r="G630" s="92"/>
    </row>
    <row r="631" spans="1:9" x14ac:dyDescent="0.2">
      <c r="A631" s="98"/>
      <c r="B631" s="128"/>
      <c r="C631" s="129"/>
      <c r="D631" s="101"/>
      <c r="E631" s="90"/>
      <c r="F631" s="91"/>
      <c r="G631" s="92"/>
    </row>
    <row r="632" spans="1:9" x14ac:dyDescent="0.2">
      <c r="A632" s="98"/>
      <c r="B632" s="128"/>
      <c r="C632" s="129"/>
      <c r="D632" s="101"/>
      <c r="E632" s="90"/>
      <c r="F632" s="91"/>
      <c r="G632" s="92"/>
    </row>
    <row r="633" spans="1:9" x14ac:dyDescent="0.2">
      <c r="A633" s="98"/>
      <c r="B633" s="128"/>
      <c r="C633" s="129"/>
      <c r="D633" s="101"/>
      <c r="E633" s="90"/>
      <c r="F633" s="91"/>
      <c r="G633" s="92"/>
    </row>
    <row r="634" spans="1:9" x14ac:dyDescent="0.2">
      <c r="A634" s="98"/>
      <c r="B634" s="128"/>
      <c r="C634" s="129"/>
      <c r="D634" s="101"/>
      <c r="E634" s="90"/>
      <c r="F634" s="91"/>
      <c r="G634" s="92"/>
    </row>
    <row r="635" spans="1:9" x14ac:dyDescent="0.2">
      <c r="A635" s="98"/>
      <c r="B635" s="128"/>
      <c r="C635" s="129"/>
      <c r="D635" s="101"/>
      <c r="E635" s="90"/>
      <c r="F635" s="91"/>
      <c r="G635" s="92"/>
    </row>
    <row r="636" spans="1:9" x14ac:dyDescent="0.2">
      <c r="A636" s="98"/>
      <c r="B636" s="128"/>
      <c r="C636" s="129"/>
      <c r="D636" s="101"/>
      <c r="E636" s="90"/>
      <c r="F636" s="91"/>
      <c r="G636" s="92"/>
    </row>
    <row r="637" spans="1:9" x14ac:dyDescent="0.2">
      <c r="A637" s="98"/>
      <c r="B637" s="128"/>
      <c r="C637" s="129"/>
      <c r="D637" s="101"/>
      <c r="E637" s="90"/>
      <c r="F637" s="91"/>
      <c r="G637" s="92"/>
    </row>
    <row r="638" spans="1:9" ht="12.75" thickBot="1" x14ac:dyDescent="0.25">
      <c r="A638" s="98"/>
      <c r="B638" s="128"/>
      <c r="C638" s="129"/>
      <c r="D638" s="101"/>
      <c r="E638" s="90"/>
      <c r="F638" s="91"/>
      <c r="G638" s="92"/>
    </row>
    <row r="639" spans="1:9" x14ac:dyDescent="0.2">
      <c r="A639" s="395"/>
      <c r="B639" s="147" t="s">
        <v>208</v>
      </c>
      <c r="C639" s="148"/>
      <c r="D639" s="149"/>
      <c r="E639" s="150"/>
      <c r="F639" s="151"/>
      <c r="G639" s="386"/>
    </row>
    <row r="640" spans="1:9" ht="12.75" thickBot="1" x14ac:dyDescent="0.25">
      <c r="A640" s="396"/>
      <c r="B640" s="356" t="s">
        <v>124</v>
      </c>
      <c r="C640" s="368"/>
      <c r="D640" s="364"/>
      <c r="E640" s="365"/>
      <c r="F640" s="358"/>
      <c r="G640" s="360">
        <f>SUM(G613:G639)</f>
        <v>0</v>
      </c>
    </row>
    <row r="641" spans="1:7" x14ac:dyDescent="0.2">
      <c r="A641" s="257"/>
      <c r="B641" s="179"/>
      <c r="C641" s="100"/>
      <c r="D641" s="101"/>
      <c r="E641" s="90"/>
      <c r="F641" s="91"/>
      <c r="G641" s="92"/>
    </row>
    <row r="642" spans="1:7" x14ac:dyDescent="0.2">
      <c r="A642" s="98"/>
      <c r="B642" s="99" t="s">
        <v>125</v>
      </c>
      <c r="C642" s="100"/>
      <c r="D642" s="101"/>
      <c r="E642" s="90"/>
      <c r="F642" s="91"/>
      <c r="G642" s="92"/>
    </row>
    <row r="643" spans="1:7" x14ac:dyDescent="0.2">
      <c r="A643" s="98"/>
      <c r="B643" s="102" t="s">
        <v>131</v>
      </c>
      <c r="C643" s="100"/>
      <c r="D643" s="101"/>
      <c r="E643" s="90"/>
      <c r="F643" s="91"/>
      <c r="G643" s="92"/>
    </row>
    <row r="644" spans="1:7" x14ac:dyDescent="0.2">
      <c r="A644" s="257" t="s">
        <v>126</v>
      </c>
      <c r="B644" s="104" t="s">
        <v>41</v>
      </c>
      <c r="C644" s="100"/>
      <c r="D644" s="101"/>
      <c r="E644" s="90"/>
      <c r="F644" s="91"/>
      <c r="G644" s="92"/>
    </row>
    <row r="645" spans="1:7" ht="36" customHeight="1" x14ac:dyDescent="0.2">
      <c r="A645" s="98"/>
      <c r="B645" s="131" t="s">
        <v>172</v>
      </c>
      <c r="C645" s="106"/>
      <c r="D645" s="106"/>
      <c r="E645" s="106"/>
      <c r="F645" s="106"/>
      <c r="G645" s="107"/>
    </row>
    <row r="646" spans="1:7" ht="51" customHeight="1" x14ac:dyDescent="0.2">
      <c r="A646" s="193"/>
      <c r="B646" s="131" t="s">
        <v>171</v>
      </c>
      <c r="C646" s="106"/>
      <c r="D646" s="106"/>
      <c r="E646" s="106"/>
      <c r="F646" s="106"/>
      <c r="G646" s="107"/>
    </row>
    <row r="647" spans="1:7" ht="26.25" customHeight="1" x14ac:dyDescent="0.2">
      <c r="A647" s="98"/>
      <c r="B647" s="131" t="s">
        <v>274</v>
      </c>
      <c r="C647" s="106"/>
      <c r="D647" s="106"/>
      <c r="E647" s="106"/>
      <c r="F647" s="106"/>
      <c r="G647" s="107"/>
    </row>
    <row r="648" spans="1:7" ht="36.75" customHeight="1" x14ac:dyDescent="0.2">
      <c r="A648" s="98"/>
      <c r="B648" s="131" t="s">
        <v>170</v>
      </c>
      <c r="C648" s="106"/>
      <c r="D648" s="106"/>
      <c r="E648" s="106"/>
      <c r="F648" s="106"/>
      <c r="G648" s="107"/>
    </row>
    <row r="649" spans="1:7" ht="29.25" customHeight="1" x14ac:dyDescent="0.2">
      <c r="A649" s="98"/>
      <c r="B649" s="131" t="s">
        <v>275</v>
      </c>
      <c r="C649" s="106"/>
      <c r="D649" s="106"/>
      <c r="E649" s="106"/>
      <c r="F649" s="106"/>
      <c r="G649" s="107"/>
    </row>
    <row r="650" spans="1:7" x14ac:dyDescent="0.2">
      <c r="A650" s="324" t="s">
        <v>160</v>
      </c>
      <c r="B650" s="325" t="s">
        <v>67</v>
      </c>
      <c r="C650" s="326"/>
      <c r="D650" s="327"/>
      <c r="E650" s="312"/>
      <c r="F650" s="242"/>
      <c r="G650" s="243">
        <f>D650*E650</f>
        <v>0</v>
      </c>
    </row>
    <row r="651" spans="1:7" x14ac:dyDescent="0.2">
      <c r="A651" s="79" t="s">
        <v>500</v>
      </c>
      <c r="B651" s="328" t="s">
        <v>133</v>
      </c>
      <c r="C651" s="81"/>
      <c r="D651" s="82"/>
      <c r="E651" s="83"/>
      <c r="F651" s="279"/>
      <c r="G651" s="329"/>
    </row>
    <row r="652" spans="1:7" x14ac:dyDescent="0.2">
      <c r="A652" s="86" t="s">
        <v>198</v>
      </c>
      <c r="B652" s="87" t="s">
        <v>222</v>
      </c>
      <c r="C652" s="88" t="s">
        <v>15</v>
      </c>
      <c r="D652" s="89">
        <v>1</v>
      </c>
      <c r="E652" s="90"/>
      <c r="F652" s="91"/>
      <c r="G652" s="92">
        <f>(D652*E652)+(D652*F652)</f>
        <v>0</v>
      </c>
    </row>
    <row r="653" spans="1:7" ht="13.5" customHeight="1" x14ac:dyDescent="0.2">
      <c r="A653" s="86" t="s">
        <v>199</v>
      </c>
      <c r="B653" s="87" t="s">
        <v>223</v>
      </c>
      <c r="C653" s="88" t="s">
        <v>15</v>
      </c>
      <c r="D653" s="89">
        <v>1</v>
      </c>
      <c r="E653" s="90"/>
      <c r="F653" s="91"/>
      <c r="G653" s="92">
        <f>(D653*E653)+(D653*F653)</f>
        <v>0</v>
      </c>
    </row>
    <row r="654" spans="1:7" ht="36" x14ac:dyDescent="0.2">
      <c r="A654" s="86" t="s">
        <v>201</v>
      </c>
      <c r="B654" s="87" t="s">
        <v>260</v>
      </c>
      <c r="C654" s="88" t="s">
        <v>113</v>
      </c>
      <c r="D654" s="89">
        <v>1</v>
      </c>
      <c r="E654" s="90"/>
      <c r="F654" s="91"/>
      <c r="G654" s="92">
        <f>(D654*E654)+(D654*F654)</f>
        <v>0</v>
      </c>
    </row>
    <row r="655" spans="1:7" x14ac:dyDescent="0.2">
      <c r="A655" s="79" t="s">
        <v>501</v>
      </c>
      <c r="B655" s="80" t="s">
        <v>134</v>
      </c>
      <c r="C655" s="81"/>
      <c r="D655" s="82"/>
      <c r="E655" s="83"/>
      <c r="F655" s="84"/>
      <c r="G655" s="85">
        <f>D655*E655</f>
        <v>0</v>
      </c>
    </row>
    <row r="656" spans="1:7" x14ac:dyDescent="0.2">
      <c r="A656" s="86"/>
      <c r="B656" s="87" t="s">
        <v>135</v>
      </c>
      <c r="C656" s="88" t="s">
        <v>113</v>
      </c>
      <c r="D656" s="89">
        <v>3</v>
      </c>
      <c r="E656" s="90"/>
      <c r="F656" s="91"/>
      <c r="G656" s="92">
        <f>(D656*E656)+(D656*F656)</f>
        <v>0</v>
      </c>
    </row>
    <row r="657" spans="1:10" x14ac:dyDescent="0.2">
      <c r="A657" s="86"/>
      <c r="B657" s="87" t="s">
        <v>224</v>
      </c>
      <c r="C657" s="88" t="s">
        <v>113</v>
      </c>
      <c r="D657" s="89">
        <v>1</v>
      </c>
      <c r="E657" s="90"/>
      <c r="F657" s="91"/>
      <c r="G657" s="92">
        <f t="shared" ref="G657:G670" si="101">(D657*E657)+(D657*F657)</f>
        <v>0</v>
      </c>
    </row>
    <row r="658" spans="1:10" x14ac:dyDescent="0.2">
      <c r="A658" s="86"/>
      <c r="B658" s="87" t="s">
        <v>136</v>
      </c>
      <c r="C658" s="88" t="s">
        <v>113</v>
      </c>
      <c r="D658" s="89">
        <f>D657</f>
        <v>1</v>
      </c>
      <c r="E658" s="90"/>
      <c r="F658" s="91"/>
      <c r="G658" s="92">
        <f t="shared" si="101"/>
        <v>0</v>
      </c>
    </row>
    <row r="659" spans="1:10" x14ac:dyDescent="0.2">
      <c r="A659" s="86"/>
      <c r="B659" s="87" t="s">
        <v>137</v>
      </c>
      <c r="C659" s="88" t="s">
        <v>113</v>
      </c>
      <c r="D659" s="89">
        <f>D656</f>
        <v>3</v>
      </c>
      <c r="E659" s="90"/>
      <c r="F659" s="91"/>
      <c r="G659" s="92">
        <f t="shared" si="101"/>
        <v>0</v>
      </c>
    </row>
    <row r="660" spans="1:10" x14ac:dyDescent="0.2">
      <c r="A660" s="86"/>
      <c r="B660" s="87" t="s">
        <v>138</v>
      </c>
      <c r="C660" s="88" t="s">
        <v>113</v>
      </c>
      <c r="D660" s="89">
        <v>1</v>
      </c>
      <c r="E660" s="90"/>
      <c r="F660" s="91"/>
      <c r="G660" s="92">
        <f t="shared" si="101"/>
        <v>0</v>
      </c>
    </row>
    <row r="661" spans="1:10" x14ac:dyDescent="0.2">
      <c r="A661" s="86"/>
      <c r="B661" s="87" t="s">
        <v>139</v>
      </c>
      <c r="C661" s="88" t="s">
        <v>113</v>
      </c>
      <c r="D661" s="89">
        <f>D656</f>
        <v>3</v>
      </c>
      <c r="E661" s="90"/>
      <c r="F661" s="91"/>
      <c r="G661" s="92">
        <f t="shared" si="101"/>
        <v>0</v>
      </c>
    </row>
    <row r="662" spans="1:10" x14ac:dyDescent="0.2">
      <c r="A662" s="86"/>
      <c r="B662" s="87" t="s">
        <v>472</v>
      </c>
      <c r="C662" s="88" t="s">
        <v>113</v>
      </c>
      <c r="D662" s="89">
        <v>5</v>
      </c>
      <c r="E662" s="90"/>
      <c r="F662" s="91"/>
      <c r="G662" s="92">
        <f t="shared" si="101"/>
        <v>0</v>
      </c>
    </row>
    <row r="663" spans="1:10" x14ac:dyDescent="0.2">
      <c r="A663" s="86"/>
      <c r="B663" s="87" t="s">
        <v>225</v>
      </c>
      <c r="C663" s="88" t="s">
        <v>113</v>
      </c>
      <c r="D663" s="89">
        <f>D656</f>
        <v>3</v>
      </c>
      <c r="E663" s="90"/>
      <c r="F663" s="91"/>
      <c r="G663" s="92">
        <f t="shared" si="101"/>
        <v>0</v>
      </c>
    </row>
    <row r="664" spans="1:10" x14ac:dyDescent="0.2">
      <c r="A664" s="86"/>
      <c r="B664" s="87" t="s">
        <v>473</v>
      </c>
      <c r="C664" s="88" t="s">
        <v>113</v>
      </c>
      <c r="D664" s="89">
        <v>1</v>
      </c>
      <c r="E664" s="90"/>
      <c r="F664" s="91"/>
      <c r="G664" s="92">
        <f t="shared" si="101"/>
        <v>0</v>
      </c>
    </row>
    <row r="665" spans="1:10" x14ac:dyDescent="0.2">
      <c r="A665" s="86"/>
      <c r="B665" s="87" t="s">
        <v>271</v>
      </c>
      <c r="C665" s="88" t="s">
        <v>113</v>
      </c>
      <c r="D665" s="89">
        <v>4</v>
      </c>
      <c r="E665" s="90"/>
      <c r="F665" s="91"/>
      <c r="G665" s="92">
        <f t="shared" si="101"/>
        <v>0</v>
      </c>
    </row>
    <row r="666" spans="1:10" ht="12.75" customHeight="1" x14ac:dyDescent="0.2">
      <c r="A666" s="86"/>
      <c r="B666" s="87" t="s">
        <v>474</v>
      </c>
      <c r="C666" s="88" t="s">
        <v>113</v>
      </c>
      <c r="D666" s="89">
        <v>3</v>
      </c>
      <c r="E666" s="90"/>
      <c r="F666" s="91"/>
      <c r="G666" s="92">
        <f t="shared" si="101"/>
        <v>0</v>
      </c>
    </row>
    <row r="667" spans="1:10" ht="12.75" customHeight="1" x14ac:dyDescent="0.2">
      <c r="A667" s="86"/>
      <c r="B667" s="87"/>
      <c r="C667" s="88"/>
      <c r="D667" s="89"/>
      <c r="E667" s="90"/>
      <c r="F667" s="91"/>
      <c r="G667" s="92"/>
    </row>
    <row r="668" spans="1:10" ht="12.75" customHeight="1" x14ac:dyDescent="0.2">
      <c r="A668" s="79" t="s">
        <v>502</v>
      </c>
      <c r="B668" s="94" t="s">
        <v>226</v>
      </c>
      <c r="C668" s="95"/>
      <c r="D668" s="82"/>
      <c r="E668" s="83"/>
      <c r="F668" s="84"/>
      <c r="G668" s="85">
        <f t="shared" si="101"/>
        <v>0</v>
      </c>
    </row>
    <row r="669" spans="1:10" ht="39.75" customHeight="1" x14ac:dyDescent="0.2">
      <c r="A669" s="86" t="s">
        <v>176</v>
      </c>
      <c r="B669" s="97" t="s">
        <v>227</v>
      </c>
      <c r="C669" s="88" t="s">
        <v>15</v>
      </c>
      <c r="D669" s="89">
        <v>1</v>
      </c>
      <c r="E669" s="90"/>
      <c r="F669" s="91"/>
      <c r="G669" s="92">
        <f t="shared" si="101"/>
        <v>0</v>
      </c>
    </row>
    <row r="670" spans="1:10" ht="36" customHeight="1" x14ac:dyDescent="0.2">
      <c r="A670" s="86" t="s">
        <v>177</v>
      </c>
      <c r="B670" s="97" t="s">
        <v>228</v>
      </c>
      <c r="C670" s="88" t="s">
        <v>113</v>
      </c>
      <c r="D670" s="89">
        <v>2</v>
      </c>
      <c r="E670" s="90"/>
      <c r="F670" s="91"/>
      <c r="G670" s="92">
        <f t="shared" si="101"/>
        <v>0</v>
      </c>
    </row>
    <row r="671" spans="1:10" ht="49.5" customHeight="1" x14ac:dyDescent="0.2">
      <c r="A671" s="86" t="s">
        <v>190</v>
      </c>
      <c r="B671" s="87" t="s">
        <v>412</v>
      </c>
      <c r="C671" s="96" t="s">
        <v>150</v>
      </c>
      <c r="D671" s="89">
        <v>1.8</v>
      </c>
      <c r="E671" s="90"/>
      <c r="F671" s="91"/>
      <c r="G671" s="92">
        <f t="shared" ref="G671" si="102">(D671*E671)+(D671*F671)</f>
        <v>0</v>
      </c>
      <c r="I671" s="33"/>
      <c r="J671" s="33"/>
    </row>
    <row r="672" spans="1:10" ht="12" customHeight="1" x14ac:dyDescent="0.2">
      <c r="A672" s="86"/>
      <c r="B672" s="87"/>
      <c r="C672" s="88"/>
      <c r="D672" s="89"/>
      <c r="E672" s="90"/>
      <c r="F672" s="91"/>
      <c r="G672" s="92"/>
      <c r="I672" s="33"/>
      <c r="J672" s="33"/>
    </row>
    <row r="673" spans="1:10" ht="12" customHeight="1" x14ac:dyDescent="0.2">
      <c r="A673" s="86"/>
      <c r="B673" s="87"/>
      <c r="C673" s="88"/>
      <c r="D673" s="89"/>
      <c r="E673" s="90"/>
      <c r="F673" s="91"/>
      <c r="G673" s="92"/>
      <c r="I673" s="33"/>
      <c r="J673" s="33"/>
    </row>
    <row r="674" spans="1:10" ht="12" customHeight="1" x14ac:dyDescent="0.2">
      <c r="A674" s="86"/>
      <c r="B674" s="87"/>
      <c r="C674" s="88"/>
      <c r="D674" s="89"/>
      <c r="E674" s="90"/>
      <c r="F674" s="91"/>
      <c r="G674" s="92"/>
      <c r="I674" s="33"/>
      <c r="J674" s="33"/>
    </row>
    <row r="675" spans="1:10" ht="12" customHeight="1" x14ac:dyDescent="0.2">
      <c r="A675" s="86"/>
      <c r="B675" s="87"/>
      <c r="C675" s="88"/>
      <c r="D675" s="89"/>
      <c r="E675" s="90"/>
      <c r="F675" s="91"/>
      <c r="G675" s="92"/>
      <c r="I675" s="33"/>
      <c r="J675" s="33"/>
    </row>
    <row r="676" spans="1:10" ht="12" customHeight="1" x14ac:dyDescent="0.2">
      <c r="A676" s="86"/>
      <c r="B676" s="87"/>
      <c r="C676" s="88"/>
      <c r="D676" s="89"/>
      <c r="E676" s="90"/>
      <c r="F676" s="91"/>
      <c r="G676" s="92"/>
      <c r="I676" s="33"/>
      <c r="J676" s="33"/>
    </row>
    <row r="677" spans="1:10" ht="12" customHeight="1" x14ac:dyDescent="0.2">
      <c r="A677" s="86"/>
      <c r="B677" s="87"/>
      <c r="C677" s="88"/>
      <c r="D677" s="89"/>
      <c r="E677" s="90"/>
      <c r="F677" s="91"/>
      <c r="G677" s="92"/>
      <c r="I677" s="33"/>
      <c r="J677" s="33"/>
    </row>
    <row r="678" spans="1:10" ht="12" customHeight="1" x14ac:dyDescent="0.2">
      <c r="A678" s="86"/>
      <c r="B678" s="87"/>
      <c r="C678" s="88"/>
      <c r="D678" s="89"/>
      <c r="E678" s="90"/>
      <c r="F678" s="91"/>
      <c r="G678" s="92"/>
      <c r="I678" s="33"/>
      <c r="J678" s="33"/>
    </row>
    <row r="679" spans="1:10" ht="12" customHeight="1" thickBot="1" x14ac:dyDescent="0.25">
      <c r="A679" s="399"/>
      <c r="B679" s="400"/>
      <c r="C679" s="401"/>
      <c r="D679" s="402"/>
      <c r="E679" s="365"/>
      <c r="F679" s="358"/>
      <c r="G679" s="372"/>
      <c r="I679" s="33"/>
      <c r="J679" s="33"/>
    </row>
    <row r="680" spans="1:10" ht="12" customHeight="1" x14ac:dyDescent="0.2">
      <c r="A680" s="86"/>
      <c r="B680" s="87"/>
      <c r="C680" s="88"/>
      <c r="D680" s="89"/>
      <c r="E680" s="90"/>
      <c r="F680" s="91"/>
      <c r="G680" s="92"/>
      <c r="I680" s="33"/>
      <c r="J680" s="33"/>
    </row>
    <row r="681" spans="1:10" ht="12" customHeight="1" x14ac:dyDescent="0.2">
      <c r="A681" s="324" t="s">
        <v>161</v>
      </c>
      <c r="B681" s="325" t="s">
        <v>69</v>
      </c>
      <c r="C681" s="326"/>
      <c r="D681" s="327"/>
      <c r="E681" s="312"/>
      <c r="F681" s="242"/>
      <c r="G681" s="243"/>
    </row>
    <row r="682" spans="1:10" x14ac:dyDescent="0.2">
      <c r="A682" s="79" t="s">
        <v>165</v>
      </c>
      <c r="B682" s="328" t="s">
        <v>133</v>
      </c>
      <c r="C682" s="81"/>
      <c r="D682" s="82"/>
      <c r="E682" s="83"/>
      <c r="F682" s="279"/>
      <c r="G682" s="329"/>
      <c r="I682" s="33"/>
      <c r="J682" s="33"/>
    </row>
    <row r="683" spans="1:10" ht="12.75" customHeight="1" x14ac:dyDescent="0.2">
      <c r="A683" s="86" t="s">
        <v>198</v>
      </c>
      <c r="B683" s="87" t="s">
        <v>222</v>
      </c>
      <c r="C683" s="88" t="s">
        <v>15</v>
      </c>
      <c r="D683" s="89">
        <v>1</v>
      </c>
      <c r="E683" s="90"/>
      <c r="F683" s="91"/>
      <c r="G683" s="92">
        <f>(D683*E683)+(D683*F683)</f>
        <v>0</v>
      </c>
    </row>
    <row r="684" spans="1:10" ht="13.5" customHeight="1" x14ac:dyDescent="0.2">
      <c r="A684" s="86" t="s">
        <v>199</v>
      </c>
      <c r="B684" s="87" t="s">
        <v>223</v>
      </c>
      <c r="C684" s="88" t="s">
        <v>15</v>
      </c>
      <c r="D684" s="89">
        <v>1</v>
      </c>
      <c r="E684" s="90"/>
      <c r="F684" s="91"/>
      <c r="G684" s="92">
        <f>(D684*E684)+(D684*F684)</f>
        <v>0</v>
      </c>
    </row>
    <row r="685" spans="1:10" ht="13.5" customHeight="1" x14ac:dyDescent="0.2">
      <c r="A685" s="86"/>
      <c r="B685" s="87"/>
      <c r="C685" s="88"/>
      <c r="D685" s="89"/>
      <c r="E685" s="90"/>
      <c r="F685" s="91"/>
      <c r="G685" s="92"/>
    </row>
    <row r="686" spans="1:10" x14ac:dyDescent="0.2">
      <c r="A686" s="79" t="s">
        <v>10</v>
      </c>
      <c r="B686" s="80" t="s">
        <v>134</v>
      </c>
      <c r="C686" s="81"/>
      <c r="D686" s="82"/>
      <c r="E686" s="83"/>
      <c r="F686" s="84"/>
      <c r="G686" s="85">
        <f>D686*E686</f>
        <v>0</v>
      </c>
    </row>
    <row r="687" spans="1:10" x14ac:dyDescent="0.2">
      <c r="A687" s="86"/>
      <c r="B687" s="87" t="s">
        <v>135</v>
      </c>
      <c r="C687" s="88" t="s">
        <v>113</v>
      </c>
      <c r="D687" s="89">
        <v>3</v>
      </c>
      <c r="E687" s="90"/>
      <c r="F687" s="91"/>
      <c r="G687" s="92">
        <f>(D687*E687)+(D687*F687)</f>
        <v>0</v>
      </c>
    </row>
    <row r="688" spans="1:10" x14ac:dyDescent="0.2">
      <c r="A688" s="86"/>
      <c r="B688" s="87" t="s">
        <v>224</v>
      </c>
      <c r="C688" s="88" t="s">
        <v>113</v>
      </c>
      <c r="D688" s="89">
        <v>1</v>
      </c>
      <c r="E688" s="90"/>
      <c r="F688" s="91"/>
      <c r="G688" s="92">
        <f t="shared" ref="G688:G700" si="103">(D688*E688)+(D688*F688)</f>
        <v>0</v>
      </c>
    </row>
    <row r="689" spans="1:7" x14ac:dyDescent="0.2">
      <c r="A689" s="86"/>
      <c r="B689" s="87" t="s">
        <v>136</v>
      </c>
      <c r="C689" s="88" t="s">
        <v>113</v>
      </c>
      <c r="D689" s="89">
        <f>D688</f>
        <v>1</v>
      </c>
      <c r="E689" s="90"/>
      <c r="F689" s="91"/>
      <c r="G689" s="92">
        <f t="shared" si="103"/>
        <v>0</v>
      </c>
    </row>
    <row r="690" spans="1:7" x14ac:dyDescent="0.2">
      <c r="A690" s="86"/>
      <c r="B690" s="87" t="s">
        <v>137</v>
      </c>
      <c r="C690" s="88" t="s">
        <v>113</v>
      </c>
      <c r="D690" s="89">
        <f>D687</f>
        <v>3</v>
      </c>
      <c r="E690" s="90"/>
      <c r="F690" s="91"/>
      <c r="G690" s="92">
        <f t="shared" si="103"/>
        <v>0</v>
      </c>
    </row>
    <row r="691" spans="1:7" x14ac:dyDescent="0.2">
      <c r="A691" s="86"/>
      <c r="B691" s="87" t="s">
        <v>499</v>
      </c>
      <c r="C691" s="88" t="s">
        <v>113</v>
      </c>
      <c r="D691" s="89">
        <v>1</v>
      </c>
      <c r="E691" s="90"/>
      <c r="F691" s="91"/>
      <c r="G691" s="92">
        <f t="shared" si="103"/>
        <v>0</v>
      </c>
    </row>
    <row r="692" spans="1:7" ht="12" customHeight="1" x14ac:dyDescent="0.2">
      <c r="A692" s="86"/>
      <c r="B692" s="87" t="s">
        <v>139</v>
      </c>
      <c r="C692" s="88" t="s">
        <v>113</v>
      </c>
      <c r="D692" s="89">
        <f>D687</f>
        <v>3</v>
      </c>
      <c r="E692" s="90"/>
      <c r="F692" s="91"/>
      <c r="G692" s="92">
        <f t="shared" si="103"/>
        <v>0</v>
      </c>
    </row>
    <row r="693" spans="1:7" x14ac:dyDescent="0.2">
      <c r="A693" s="86"/>
      <c r="B693" s="87" t="s">
        <v>472</v>
      </c>
      <c r="C693" s="88" t="s">
        <v>113</v>
      </c>
      <c r="D693" s="89">
        <v>5</v>
      </c>
      <c r="E693" s="90"/>
      <c r="F693" s="91"/>
      <c r="G693" s="92">
        <f t="shared" si="103"/>
        <v>0</v>
      </c>
    </row>
    <row r="694" spans="1:7" x14ac:dyDescent="0.2">
      <c r="A694" s="86"/>
      <c r="B694" s="87" t="s">
        <v>225</v>
      </c>
      <c r="C694" s="88" t="s">
        <v>113</v>
      </c>
      <c r="D694" s="89">
        <f>D687</f>
        <v>3</v>
      </c>
      <c r="E694" s="90"/>
      <c r="F694" s="91"/>
      <c r="G694" s="92">
        <f t="shared" si="103"/>
        <v>0</v>
      </c>
    </row>
    <row r="695" spans="1:7" x14ac:dyDescent="0.2">
      <c r="A695" s="86"/>
      <c r="B695" s="87" t="s">
        <v>473</v>
      </c>
      <c r="C695" s="88" t="s">
        <v>113</v>
      </c>
      <c r="D695" s="89">
        <v>1</v>
      </c>
      <c r="E695" s="90"/>
      <c r="F695" s="91"/>
      <c r="G695" s="92">
        <f t="shared" si="103"/>
        <v>0</v>
      </c>
    </row>
    <row r="696" spans="1:7" x14ac:dyDescent="0.2">
      <c r="A696" s="86"/>
      <c r="B696" s="87" t="s">
        <v>271</v>
      </c>
      <c r="C696" s="88" t="s">
        <v>113</v>
      </c>
      <c r="D696" s="89">
        <v>4</v>
      </c>
      <c r="E696" s="90"/>
      <c r="F696" s="91"/>
      <c r="G696" s="92">
        <f t="shared" si="103"/>
        <v>0</v>
      </c>
    </row>
    <row r="697" spans="1:7" x14ac:dyDescent="0.2">
      <c r="A697" s="86"/>
      <c r="B697" s="87" t="s">
        <v>474</v>
      </c>
      <c r="C697" s="88" t="s">
        <v>113</v>
      </c>
      <c r="D697" s="89">
        <v>3</v>
      </c>
      <c r="E697" s="90"/>
      <c r="F697" s="91"/>
      <c r="G697" s="92">
        <f t="shared" si="103"/>
        <v>0</v>
      </c>
    </row>
    <row r="698" spans="1:7" x14ac:dyDescent="0.2">
      <c r="A698" s="86"/>
      <c r="B698" s="87"/>
      <c r="C698" s="88"/>
      <c r="D698" s="89"/>
      <c r="E698" s="90"/>
      <c r="F698" s="91"/>
      <c r="G698" s="92"/>
    </row>
    <row r="699" spans="1:7" x14ac:dyDescent="0.2">
      <c r="A699" s="79" t="s">
        <v>16</v>
      </c>
      <c r="B699" s="94" t="s">
        <v>226</v>
      </c>
      <c r="C699" s="95"/>
      <c r="D699" s="82"/>
      <c r="E699" s="83"/>
      <c r="F699" s="84"/>
      <c r="G699" s="85">
        <f t="shared" si="103"/>
        <v>0</v>
      </c>
    </row>
    <row r="700" spans="1:7" ht="48" x14ac:dyDescent="0.2">
      <c r="A700" s="86" t="s">
        <v>176</v>
      </c>
      <c r="B700" s="97" t="s">
        <v>227</v>
      </c>
      <c r="C700" s="88" t="s">
        <v>15</v>
      </c>
      <c r="D700" s="89">
        <v>1</v>
      </c>
      <c r="E700" s="90"/>
      <c r="F700" s="91"/>
      <c r="G700" s="92">
        <f t="shared" si="103"/>
        <v>0</v>
      </c>
    </row>
    <row r="701" spans="1:7" x14ac:dyDescent="0.2">
      <c r="A701" s="98"/>
      <c r="B701" s="128"/>
      <c r="C701" s="129"/>
      <c r="D701" s="101"/>
      <c r="E701" s="90"/>
      <c r="F701" s="91"/>
      <c r="G701" s="92"/>
    </row>
    <row r="702" spans="1:7" x14ac:dyDescent="0.2">
      <c r="A702" s="324" t="s">
        <v>57</v>
      </c>
      <c r="B702" s="325" t="s">
        <v>282</v>
      </c>
      <c r="C702" s="326"/>
      <c r="D702" s="327"/>
      <c r="E702" s="312"/>
      <c r="F702" s="242"/>
      <c r="G702" s="243"/>
    </row>
    <row r="703" spans="1:7" x14ac:dyDescent="0.2">
      <c r="A703" s="79" t="s">
        <v>166</v>
      </c>
      <c r="B703" s="94" t="s">
        <v>226</v>
      </c>
      <c r="C703" s="95"/>
      <c r="D703" s="82"/>
      <c r="E703" s="83"/>
      <c r="F703" s="84"/>
      <c r="G703" s="85">
        <f t="shared" ref="G703:G704" si="104">(D703*E703)+(D703*F703)</f>
        <v>0</v>
      </c>
    </row>
    <row r="704" spans="1:7" ht="38.25" customHeight="1" x14ac:dyDescent="0.2">
      <c r="A704" s="86" t="s">
        <v>176</v>
      </c>
      <c r="B704" s="87" t="s">
        <v>365</v>
      </c>
      <c r="C704" s="88" t="s">
        <v>15</v>
      </c>
      <c r="D704" s="89">
        <v>1</v>
      </c>
      <c r="E704" s="90"/>
      <c r="F704" s="91"/>
      <c r="G704" s="92">
        <f t="shared" si="104"/>
        <v>0</v>
      </c>
    </row>
    <row r="705" spans="1:7" x14ac:dyDescent="0.2">
      <c r="A705" s="98"/>
      <c r="B705" s="128"/>
      <c r="C705" s="129"/>
      <c r="D705" s="101"/>
      <c r="E705" s="90"/>
      <c r="F705" s="91"/>
      <c r="G705" s="92"/>
    </row>
    <row r="706" spans="1:7" x14ac:dyDescent="0.2">
      <c r="A706" s="98"/>
      <c r="B706" s="128"/>
      <c r="C706" s="129"/>
      <c r="D706" s="101"/>
      <c r="E706" s="90"/>
      <c r="F706" s="91"/>
      <c r="G706" s="92"/>
    </row>
    <row r="707" spans="1:7" x14ac:dyDescent="0.2">
      <c r="A707" s="98"/>
      <c r="B707" s="128"/>
      <c r="C707" s="129"/>
      <c r="D707" s="101"/>
      <c r="E707" s="90"/>
      <c r="F707" s="91"/>
      <c r="G707" s="92"/>
    </row>
    <row r="708" spans="1:7" x14ac:dyDescent="0.2">
      <c r="A708" s="98"/>
      <c r="B708" s="128"/>
      <c r="C708" s="129"/>
      <c r="D708" s="101"/>
      <c r="E708" s="90"/>
      <c r="F708" s="91"/>
      <c r="G708" s="92"/>
    </row>
    <row r="709" spans="1:7" x14ac:dyDescent="0.2">
      <c r="A709" s="98"/>
      <c r="B709" s="128"/>
      <c r="C709" s="129"/>
      <c r="D709" s="101"/>
      <c r="E709" s="90"/>
      <c r="F709" s="91"/>
      <c r="G709" s="92"/>
    </row>
    <row r="710" spans="1:7" x14ac:dyDescent="0.2">
      <c r="A710" s="98"/>
      <c r="B710" s="128"/>
      <c r="C710" s="129"/>
      <c r="D710" s="101"/>
      <c r="E710" s="90"/>
      <c r="F710" s="91"/>
      <c r="G710" s="92"/>
    </row>
    <row r="711" spans="1:7" x14ac:dyDescent="0.2">
      <c r="A711" s="98"/>
      <c r="B711" s="128"/>
      <c r="C711" s="129"/>
      <c r="D711" s="101"/>
      <c r="E711" s="90"/>
      <c r="F711" s="91"/>
      <c r="G711" s="92"/>
    </row>
    <row r="712" spans="1:7" x14ac:dyDescent="0.2">
      <c r="A712" s="98"/>
      <c r="B712" s="128"/>
      <c r="C712" s="129"/>
      <c r="D712" s="101"/>
      <c r="E712" s="90"/>
      <c r="F712" s="91"/>
      <c r="G712" s="92"/>
    </row>
    <row r="713" spans="1:7" x14ac:dyDescent="0.2">
      <c r="A713" s="98"/>
      <c r="B713" s="128"/>
      <c r="C713" s="129"/>
      <c r="D713" s="101"/>
      <c r="E713" s="90"/>
      <c r="F713" s="91"/>
      <c r="G713" s="92"/>
    </row>
    <row r="714" spans="1:7" x14ac:dyDescent="0.2">
      <c r="A714" s="98"/>
      <c r="B714" s="128"/>
      <c r="C714" s="129"/>
      <c r="D714" s="101"/>
      <c r="E714" s="90"/>
      <c r="F714" s="91"/>
      <c r="G714" s="92"/>
    </row>
    <row r="715" spans="1:7" x14ac:dyDescent="0.2">
      <c r="A715" s="98"/>
      <c r="B715" s="128"/>
      <c r="C715" s="129"/>
      <c r="D715" s="101"/>
      <c r="E715" s="90"/>
      <c r="F715" s="91"/>
      <c r="G715" s="92"/>
    </row>
    <row r="716" spans="1:7" x14ac:dyDescent="0.2">
      <c r="A716" s="98"/>
      <c r="B716" s="128"/>
      <c r="C716" s="129"/>
      <c r="D716" s="101"/>
      <c r="E716" s="90"/>
      <c r="F716" s="91"/>
      <c r="G716" s="92"/>
    </row>
    <row r="717" spans="1:7" x14ac:dyDescent="0.2">
      <c r="A717" s="98"/>
      <c r="B717" s="128"/>
      <c r="C717" s="129"/>
      <c r="D717" s="101"/>
      <c r="E717" s="90"/>
      <c r="F717" s="91"/>
      <c r="G717" s="92"/>
    </row>
    <row r="718" spans="1:7" x14ac:dyDescent="0.2">
      <c r="A718" s="98"/>
      <c r="B718" s="128"/>
      <c r="C718" s="129"/>
      <c r="D718" s="101"/>
      <c r="E718" s="90"/>
      <c r="F718" s="91"/>
      <c r="G718" s="92"/>
    </row>
    <row r="719" spans="1:7" x14ac:dyDescent="0.2">
      <c r="A719" s="98"/>
      <c r="B719" s="128"/>
      <c r="C719" s="129"/>
      <c r="D719" s="101"/>
      <c r="E719" s="90"/>
      <c r="F719" s="91"/>
      <c r="G719" s="92"/>
    </row>
    <row r="720" spans="1:7" x14ac:dyDescent="0.2">
      <c r="A720" s="98"/>
      <c r="B720" s="128"/>
      <c r="C720" s="129"/>
      <c r="D720" s="101"/>
      <c r="E720" s="90"/>
      <c r="F720" s="91"/>
      <c r="G720" s="92"/>
    </row>
    <row r="721" spans="1:7" x14ac:dyDescent="0.2">
      <c r="A721" s="98"/>
      <c r="B721" s="128"/>
      <c r="C721" s="129"/>
      <c r="D721" s="101"/>
      <c r="E721" s="90"/>
      <c r="F721" s="91"/>
      <c r="G721" s="92"/>
    </row>
    <row r="722" spans="1:7" x14ac:dyDescent="0.2">
      <c r="A722" s="98"/>
      <c r="B722" s="128"/>
      <c r="C722" s="129"/>
      <c r="D722" s="101"/>
      <c r="E722" s="90"/>
      <c r="F722" s="91"/>
      <c r="G722" s="92"/>
    </row>
    <row r="723" spans="1:7" x14ac:dyDescent="0.2">
      <c r="A723" s="98"/>
      <c r="B723" s="128"/>
      <c r="C723" s="129"/>
      <c r="D723" s="101"/>
      <c r="E723" s="90"/>
      <c r="F723" s="91"/>
      <c r="G723" s="92"/>
    </row>
    <row r="724" spans="1:7" x14ac:dyDescent="0.2">
      <c r="A724" s="98"/>
      <c r="B724" s="128"/>
      <c r="C724" s="129"/>
      <c r="D724" s="101"/>
      <c r="E724" s="90"/>
      <c r="F724" s="91"/>
      <c r="G724" s="92"/>
    </row>
    <row r="725" spans="1:7" x14ac:dyDescent="0.2">
      <c r="A725" s="98"/>
      <c r="B725" s="128"/>
      <c r="C725" s="129"/>
      <c r="D725" s="101"/>
      <c r="E725" s="90"/>
      <c r="F725" s="91"/>
      <c r="G725" s="92"/>
    </row>
    <row r="726" spans="1:7" x14ac:dyDescent="0.2">
      <c r="A726" s="98"/>
      <c r="B726" s="128"/>
      <c r="C726" s="129"/>
      <c r="D726" s="101"/>
      <c r="E726" s="90"/>
      <c r="F726" s="91"/>
      <c r="G726" s="92"/>
    </row>
    <row r="727" spans="1:7" x14ac:dyDescent="0.2">
      <c r="A727" s="98"/>
      <c r="B727" s="128"/>
      <c r="C727" s="129"/>
      <c r="D727" s="101"/>
      <c r="E727" s="90"/>
      <c r="F727" s="91"/>
      <c r="G727" s="92"/>
    </row>
    <row r="728" spans="1:7" x14ac:dyDescent="0.2">
      <c r="A728" s="98"/>
      <c r="B728" s="128"/>
      <c r="C728" s="129"/>
      <c r="D728" s="101"/>
      <c r="E728" s="90"/>
      <c r="F728" s="91"/>
      <c r="G728" s="92"/>
    </row>
    <row r="729" spans="1:7" x14ac:dyDescent="0.2">
      <c r="A729" s="98"/>
      <c r="B729" s="128"/>
      <c r="C729" s="129"/>
      <c r="D729" s="101"/>
      <c r="E729" s="90"/>
      <c r="F729" s="91"/>
      <c r="G729" s="92"/>
    </row>
    <row r="730" spans="1:7" x14ac:dyDescent="0.2">
      <c r="A730" s="98"/>
      <c r="B730" s="128"/>
      <c r="C730" s="129"/>
      <c r="D730" s="101"/>
      <c r="E730" s="90"/>
      <c r="F730" s="91"/>
      <c r="G730" s="92"/>
    </row>
    <row r="731" spans="1:7" ht="12.75" thickBot="1" x14ac:dyDescent="0.25">
      <c r="A731" s="98"/>
      <c r="B731" s="128"/>
      <c r="C731" s="129"/>
      <c r="D731" s="101"/>
      <c r="E731" s="90"/>
      <c r="F731" s="91"/>
      <c r="G731" s="92"/>
    </row>
    <row r="732" spans="1:7" x14ac:dyDescent="0.2">
      <c r="A732" s="137"/>
      <c r="B732" s="147" t="s">
        <v>209</v>
      </c>
      <c r="C732" s="148"/>
      <c r="D732" s="149"/>
      <c r="E732" s="150"/>
      <c r="F732" s="151"/>
      <c r="G732" s="386"/>
    </row>
    <row r="733" spans="1:7" ht="12.75" thickBot="1" x14ac:dyDescent="0.25">
      <c r="A733" s="362"/>
      <c r="B733" s="356" t="s">
        <v>129</v>
      </c>
      <c r="C733" s="368"/>
      <c r="D733" s="364"/>
      <c r="E733" s="365"/>
      <c r="F733" s="358"/>
      <c r="G733" s="360">
        <f>SUM(G652:G732)</f>
        <v>0</v>
      </c>
    </row>
    <row r="734" spans="1:7" x14ac:dyDescent="0.2">
      <c r="A734" s="137"/>
      <c r="B734" s="403"/>
      <c r="C734" s="133"/>
      <c r="D734" s="134"/>
      <c r="E734" s="135"/>
      <c r="F734" s="404"/>
      <c r="G734" s="152"/>
    </row>
    <row r="735" spans="1:7" x14ac:dyDescent="0.2">
      <c r="A735" s="98"/>
      <c r="B735" s="405" t="s">
        <v>130</v>
      </c>
      <c r="C735" s="132"/>
      <c r="D735" s="64"/>
      <c r="E735" s="93"/>
      <c r="F735" s="406"/>
      <c r="G735" s="92"/>
    </row>
    <row r="736" spans="1:7" x14ac:dyDescent="0.2">
      <c r="A736" s="98"/>
      <c r="B736" s="407" t="s">
        <v>99</v>
      </c>
      <c r="C736" s="132"/>
      <c r="D736" s="64"/>
      <c r="E736" s="93"/>
      <c r="F736" s="406"/>
      <c r="G736" s="92"/>
    </row>
    <row r="737" spans="1:7" x14ac:dyDescent="0.2">
      <c r="A737" s="103" t="s">
        <v>132</v>
      </c>
      <c r="B737" s="408" t="s">
        <v>41</v>
      </c>
      <c r="C737" s="132"/>
      <c r="D737" s="64"/>
      <c r="E737" s="136"/>
      <c r="F737" s="406"/>
      <c r="G737" s="92"/>
    </row>
    <row r="738" spans="1:7" ht="28.5" customHeight="1" x14ac:dyDescent="0.2">
      <c r="A738" s="105"/>
      <c r="B738" s="446" t="s">
        <v>287</v>
      </c>
      <c r="C738" s="447"/>
      <c r="D738" s="447"/>
      <c r="E738" s="447"/>
      <c r="F738" s="409"/>
      <c r="G738" s="107"/>
    </row>
    <row r="739" spans="1:7" ht="37.5" customHeight="1" x14ac:dyDescent="0.2">
      <c r="A739" s="105"/>
      <c r="B739" s="438" t="s">
        <v>288</v>
      </c>
      <c r="C739" s="439"/>
      <c r="D739" s="439"/>
      <c r="E739" s="439"/>
      <c r="F739" s="409"/>
      <c r="G739" s="107"/>
    </row>
    <row r="740" spans="1:7" ht="39" customHeight="1" x14ac:dyDescent="0.2">
      <c r="A740" s="105"/>
      <c r="B740" s="438" t="s">
        <v>286</v>
      </c>
      <c r="C740" s="439"/>
      <c r="D740" s="439"/>
      <c r="E740" s="439"/>
      <c r="F740" s="409"/>
      <c r="G740" s="107"/>
    </row>
    <row r="741" spans="1:7" ht="29.25" customHeight="1" x14ac:dyDescent="0.2">
      <c r="A741" s="108"/>
      <c r="B741" s="438" t="s">
        <v>475</v>
      </c>
      <c r="C741" s="439"/>
      <c r="D741" s="439"/>
      <c r="E741" s="439"/>
      <c r="F741" s="409"/>
      <c r="G741" s="107"/>
    </row>
    <row r="742" spans="1:7" ht="15" customHeight="1" thickBot="1" x14ac:dyDescent="0.25">
      <c r="A742" s="138"/>
      <c r="B742" s="440" t="s">
        <v>476</v>
      </c>
      <c r="C742" s="441"/>
      <c r="D742" s="441"/>
      <c r="E742" s="441"/>
      <c r="F742" s="410"/>
      <c r="G742" s="153"/>
    </row>
    <row r="743" spans="1:7" ht="16.5" customHeight="1" x14ac:dyDescent="0.2">
      <c r="A743" s="105"/>
      <c r="B743" s="411"/>
      <c r="C743" s="412"/>
      <c r="D743" s="412"/>
      <c r="E743" s="412"/>
      <c r="F743" s="409"/>
      <c r="G743" s="107"/>
    </row>
    <row r="744" spans="1:7" ht="11.25" customHeight="1" x14ac:dyDescent="0.2">
      <c r="A744" s="109" t="s">
        <v>160</v>
      </c>
      <c r="B744" s="110" t="s">
        <v>67</v>
      </c>
      <c r="C744" s="111"/>
      <c r="D744" s="112"/>
      <c r="E744" s="113"/>
      <c r="F744" s="114"/>
      <c r="G744" s="115"/>
    </row>
    <row r="745" spans="1:7" ht="12.75" x14ac:dyDescent="0.2">
      <c r="A745" s="116" t="s">
        <v>176</v>
      </c>
      <c r="B745" s="117" t="s">
        <v>235</v>
      </c>
      <c r="C745" s="71"/>
      <c r="D745" s="72"/>
      <c r="E745" s="118"/>
      <c r="F745" s="74"/>
      <c r="G745" s="75">
        <f>D745*E745</f>
        <v>0</v>
      </c>
    </row>
    <row r="746" spans="1:7" ht="63.75" x14ac:dyDescent="0.2">
      <c r="A746" s="119" t="s">
        <v>198</v>
      </c>
      <c r="B746" s="120" t="s">
        <v>486</v>
      </c>
      <c r="C746" s="77" t="s">
        <v>8</v>
      </c>
      <c r="D746" s="78">
        <v>1</v>
      </c>
      <c r="E746" s="121"/>
      <c r="F746" s="121"/>
      <c r="G746" s="122">
        <f>+D746*E746+D746*F746</f>
        <v>0</v>
      </c>
    </row>
    <row r="747" spans="1:7" ht="25.5" customHeight="1" x14ac:dyDescent="0.2">
      <c r="A747" s="119" t="s">
        <v>199</v>
      </c>
      <c r="B747" s="123" t="s">
        <v>477</v>
      </c>
      <c r="C747" s="77"/>
      <c r="D747" s="78"/>
      <c r="E747" s="118"/>
      <c r="F747" s="121"/>
      <c r="G747" s="122"/>
    </row>
    <row r="748" spans="1:7" ht="12.75" x14ac:dyDescent="0.2">
      <c r="A748" s="119" t="s">
        <v>478</v>
      </c>
      <c r="B748" s="124" t="s">
        <v>479</v>
      </c>
      <c r="C748" s="77" t="s">
        <v>8</v>
      </c>
      <c r="D748" s="78">
        <v>1</v>
      </c>
      <c r="E748" s="118"/>
      <c r="F748" s="121"/>
      <c r="G748" s="122">
        <f t="shared" ref="G748:G781" si="105">+D748*E748+D748*F748</f>
        <v>0</v>
      </c>
    </row>
    <row r="749" spans="1:7" ht="12.75" x14ac:dyDescent="0.2">
      <c r="A749" s="119" t="s">
        <v>480</v>
      </c>
      <c r="B749" s="124" t="s">
        <v>481</v>
      </c>
      <c r="C749" s="77" t="s">
        <v>8</v>
      </c>
      <c r="D749" s="78">
        <v>1</v>
      </c>
      <c r="E749" s="118"/>
      <c r="F749" s="121"/>
      <c r="G749" s="122">
        <f t="shared" si="105"/>
        <v>0</v>
      </c>
    </row>
    <row r="750" spans="1:7" ht="12.75" x14ac:dyDescent="0.2">
      <c r="A750" s="116" t="s">
        <v>177</v>
      </c>
      <c r="B750" s="117" t="s">
        <v>236</v>
      </c>
      <c r="C750" s="125"/>
      <c r="D750" s="126"/>
      <c r="E750" s="118"/>
      <c r="F750" s="121"/>
      <c r="G750" s="127">
        <f t="shared" si="105"/>
        <v>0</v>
      </c>
    </row>
    <row r="751" spans="1:7" ht="12.75" x14ac:dyDescent="0.2">
      <c r="A751" s="119"/>
      <c r="B751" s="124" t="s">
        <v>366</v>
      </c>
      <c r="C751" s="71" t="s">
        <v>8</v>
      </c>
      <c r="D751" s="72">
        <v>16</v>
      </c>
      <c r="E751" s="118"/>
      <c r="F751" s="121"/>
      <c r="G751" s="127">
        <f t="shared" si="105"/>
        <v>0</v>
      </c>
    </row>
    <row r="752" spans="1:7" ht="12.75" x14ac:dyDescent="0.2">
      <c r="A752" s="119"/>
      <c r="B752" s="124" t="s">
        <v>367</v>
      </c>
      <c r="C752" s="71" t="s">
        <v>8</v>
      </c>
      <c r="D752" s="72">
        <v>6</v>
      </c>
      <c r="E752" s="118"/>
      <c r="F752" s="121"/>
      <c r="G752" s="127">
        <f t="shared" si="105"/>
        <v>0</v>
      </c>
    </row>
    <row r="753" spans="1:7" ht="12.75" x14ac:dyDescent="0.2">
      <c r="A753" s="119"/>
      <c r="B753" s="124" t="s">
        <v>293</v>
      </c>
      <c r="C753" s="71" t="s">
        <v>8</v>
      </c>
      <c r="D753" s="72">
        <v>11</v>
      </c>
      <c r="E753" s="118"/>
      <c r="F753" s="121"/>
      <c r="G753" s="127">
        <f t="shared" si="105"/>
        <v>0</v>
      </c>
    </row>
    <row r="754" spans="1:7" ht="12.75" x14ac:dyDescent="0.2">
      <c r="A754" s="119"/>
      <c r="B754" s="124" t="s">
        <v>294</v>
      </c>
      <c r="C754" s="71" t="s">
        <v>8</v>
      </c>
      <c r="D754" s="72">
        <v>7</v>
      </c>
      <c r="E754" s="118"/>
      <c r="F754" s="121"/>
      <c r="G754" s="127">
        <f t="shared" si="105"/>
        <v>0</v>
      </c>
    </row>
    <row r="755" spans="1:7" ht="12.75" x14ac:dyDescent="0.2">
      <c r="A755" s="119"/>
      <c r="B755" s="124" t="s">
        <v>278</v>
      </c>
      <c r="C755" s="71" t="s">
        <v>8</v>
      </c>
      <c r="D755" s="72">
        <v>8</v>
      </c>
      <c r="E755" s="118"/>
      <c r="F755" s="121"/>
      <c r="G755" s="127">
        <f t="shared" si="105"/>
        <v>0</v>
      </c>
    </row>
    <row r="756" spans="1:7" ht="12.75" x14ac:dyDescent="0.2">
      <c r="A756" s="119"/>
      <c r="B756" s="124" t="s">
        <v>441</v>
      </c>
      <c r="C756" s="71" t="s">
        <v>8</v>
      </c>
      <c r="D756" s="72">
        <v>3</v>
      </c>
      <c r="E756" s="118"/>
      <c r="F756" s="121"/>
      <c r="G756" s="127">
        <f t="shared" si="105"/>
        <v>0</v>
      </c>
    </row>
    <row r="757" spans="1:7" ht="12.75" x14ac:dyDescent="0.2">
      <c r="A757" s="119"/>
      <c r="B757" s="124" t="s">
        <v>377</v>
      </c>
      <c r="C757" s="77" t="s">
        <v>8</v>
      </c>
      <c r="D757" s="78">
        <v>1</v>
      </c>
      <c r="E757" s="118"/>
      <c r="F757" s="121"/>
      <c r="G757" s="127">
        <f t="shared" ref="G757" si="106">+D757*E757+D757*F757</f>
        <v>0</v>
      </c>
    </row>
    <row r="758" spans="1:7" ht="12.75" x14ac:dyDescent="0.2">
      <c r="A758" s="119"/>
      <c r="B758" s="124" t="s">
        <v>439</v>
      </c>
      <c r="C758" s="77" t="s">
        <v>8</v>
      </c>
      <c r="D758" s="78">
        <v>11</v>
      </c>
      <c r="E758" s="118"/>
      <c r="F758" s="121"/>
      <c r="G758" s="127">
        <f t="shared" si="105"/>
        <v>0</v>
      </c>
    </row>
    <row r="759" spans="1:7" ht="12.75" x14ac:dyDescent="0.2">
      <c r="A759" s="119"/>
      <c r="B759" s="124" t="s">
        <v>368</v>
      </c>
      <c r="C759" s="77" t="s">
        <v>8</v>
      </c>
      <c r="D759" s="78">
        <v>8</v>
      </c>
      <c r="E759" s="118"/>
      <c r="F759" s="121"/>
      <c r="G759" s="127">
        <f t="shared" si="105"/>
        <v>0</v>
      </c>
    </row>
    <row r="760" spans="1:7" ht="12.75" x14ac:dyDescent="0.2">
      <c r="A760" s="119"/>
      <c r="B760" s="124" t="s">
        <v>440</v>
      </c>
      <c r="C760" s="77" t="s">
        <v>8</v>
      </c>
      <c r="D760" s="78">
        <v>4</v>
      </c>
      <c r="E760" s="118"/>
      <c r="F760" s="121"/>
      <c r="G760" s="127">
        <f t="shared" si="105"/>
        <v>0</v>
      </c>
    </row>
    <row r="761" spans="1:7" ht="12.75" x14ac:dyDescent="0.2">
      <c r="A761" s="119"/>
      <c r="B761" s="124" t="s">
        <v>483</v>
      </c>
      <c r="C761" s="71" t="s">
        <v>8</v>
      </c>
      <c r="D761" s="72">
        <v>5</v>
      </c>
      <c r="E761" s="118"/>
      <c r="F761" s="121"/>
      <c r="G761" s="127">
        <f t="shared" si="105"/>
        <v>0</v>
      </c>
    </row>
    <row r="762" spans="1:7" ht="12.75" x14ac:dyDescent="0.2">
      <c r="A762" s="119"/>
      <c r="B762" s="124" t="s">
        <v>369</v>
      </c>
      <c r="C762" s="71" t="s">
        <v>8</v>
      </c>
      <c r="D762" s="72">
        <v>1</v>
      </c>
      <c r="E762" s="118"/>
      <c r="F762" s="121"/>
      <c r="G762" s="127">
        <f t="shared" si="105"/>
        <v>0</v>
      </c>
    </row>
    <row r="763" spans="1:7" ht="12.75" x14ac:dyDescent="0.2">
      <c r="A763" s="119"/>
      <c r="B763" s="124" t="s">
        <v>370</v>
      </c>
      <c r="C763" s="71" t="s">
        <v>8</v>
      </c>
      <c r="D763" s="72">
        <v>3</v>
      </c>
      <c r="E763" s="118"/>
      <c r="F763" s="121"/>
      <c r="G763" s="127">
        <f t="shared" si="105"/>
        <v>0</v>
      </c>
    </row>
    <row r="764" spans="1:7" ht="12.75" x14ac:dyDescent="0.2">
      <c r="A764" s="119"/>
      <c r="B764" s="124" t="s">
        <v>371</v>
      </c>
      <c r="C764" s="71" t="s">
        <v>8</v>
      </c>
      <c r="D764" s="72">
        <v>6</v>
      </c>
      <c r="E764" s="118"/>
      <c r="F764" s="121"/>
      <c r="G764" s="127">
        <f t="shared" si="105"/>
        <v>0</v>
      </c>
    </row>
    <row r="765" spans="1:7" ht="12.75" x14ac:dyDescent="0.2">
      <c r="A765" s="119"/>
      <c r="B765" s="124" t="s">
        <v>372</v>
      </c>
      <c r="C765" s="71" t="s">
        <v>8</v>
      </c>
      <c r="D765" s="72">
        <f>D755</f>
        <v>8</v>
      </c>
      <c r="E765" s="118"/>
      <c r="F765" s="121"/>
      <c r="G765" s="127">
        <f t="shared" si="105"/>
        <v>0</v>
      </c>
    </row>
    <row r="766" spans="1:7" ht="12.75" x14ac:dyDescent="0.2">
      <c r="A766" s="119"/>
      <c r="B766" s="124" t="s">
        <v>373</v>
      </c>
      <c r="C766" s="71" t="s">
        <v>8</v>
      </c>
      <c r="D766" s="72">
        <v>2</v>
      </c>
      <c r="E766" s="118"/>
      <c r="F766" s="121"/>
      <c r="G766" s="127">
        <f t="shared" si="105"/>
        <v>0</v>
      </c>
    </row>
    <row r="767" spans="1:7" ht="12.75" x14ac:dyDescent="0.2">
      <c r="A767" s="119"/>
      <c r="B767" s="124" t="s">
        <v>374</v>
      </c>
      <c r="C767" s="71" t="s">
        <v>8</v>
      </c>
      <c r="D767" s="72">
        <v>2</v>
      </c>
      <c r="E767" s="118"/>
      <c r="F767" s="121"/>
      <c r="G767" s="127">
        <f t="shared" si="105"/>
        <v>0</v>
      </c>
    </row>
    <row r="768" spans="1:7" ht="12.75" x14ac:dyDescent="0.2">
      <c r="A768" s="119"/>
      <c r="B768" s="124" t="s">
        <v>375</v>
      </c>
      <c r="C768" s="71" t="s">
        <v>8</v>
      </c>
      <c r="D768" s="72">
        <v>2</v>
      </c>
      <c r="E768" s="118"/>
      <c r="F768" s="121"/>
      <c r="G768" s="127">
        <f t="shared" si="105"/>
        <v>0</v>
      </c>
    </row>
    <row r="769" spans="1:7" ht="12.75" x14ac:dyDescent="0.2">
      <c r="A769" s="119"/>
      <c r="B769" s="124" t="s">
        <v>403</v>
      </c>
      <c r="C769" s="71" t="s">
        <v>8</v>
      </c>
      <c r="D769" s="72">
        <v>5</v>
      </c>
      <c r="E769" s="118"/>
      <c r="F769" s="121"/>
      <c r="G769" s="127">
        <f t="shared" si="105"/>
        <v>0</v>
      </c>
    </row>
    <row r="770" spans="1:7" ht="12.75" x14ac:dyDescent="0.2">
      <c r="A770" s="119"/>
      <c r="B770" s="124" t="s">
        <v>376</v>
      </c>
      <c r="C770" s="71" t="s">
        <v>8</v>
      </c>
      <c r="D770" s="72">
        <v>4</v>
      </c>
      <c r="E770" s="118"/>
      <c r="F770" s="121"/>
      <c r="G770" s="127">
        <f t="shared" si="105"/>
        <v>0</v>
      </c>
    </row>
    <row r="771" spans="1:7" ht="12.75" x14ac:dyDescent="0.2">
      <c r="A771" s="119"/>
      <c r="B771" s="124" t="s">
        <v>404</v>
      </c>
      <c r="C771" s="71" t="s">
        <v>8</v>
      </c>
      <c r="D771" s="72">
        <v>2</v>
      </c>
      <c r="E771" s="118"/>
      <c r="F771" s="121"/>
      <c r="G771" s="127">
        <f t="shared" si="105"/>
        <v>0</v>
      </c>
    </row>
    <row r="772" spans="1:7" ht="12.75" x14ac:dyDescent="0.2">
      <c r="A772" s="116" t="s">
        <v>190</v>
      </c>
      <c r="B772" s="117" t="s">
        <v>237</v>
      </c>
      <c r="C772" s="125"/>
      <c r="D772" s="126"/>
      <c r="E772" s="118"/>
      <c r="F772" s="121"/>
      <c r="G772" s="127">
        <f t="shared" si="105"/>
        <v>0</v>
      </c>
    </row>
    <row r="773" spans="1:7" ht="13.5" x14ac:dyDescent="0.2">
      <c r="A773" s="98" t="s">
        <v>176</v>
      </c>
      <c r="B773" s="128" t="s">
        <v>258</v>
      </c>
      <c r="C773" s="129" t="s">
        <v>238</v>
      </c>
      <c r="D773" s="101">
        <f>D751+D754+D755+D753+D752</f>
        <v>48</v>
      </c>
      <c r="E773" s="90"/>
      <c r="F773" s="121"/>
      <c r="G773" s="127">
        <f t="shared" si="105"/>
        <v>0</v>
      </c>
    </row>
    <row r="774" spans="1:7" ht="13.5" x14ac:dyDescent="0.2">
      <c r="A774" s="98" t="s">
        <v>177</v>
      </c>
      <c r="B774" s="128" t="s">
        <v>257</v>
      </c>
      <c r="C774" s="129" t="s">
        <v>238</v>
      </c>
      <c r="D774" s="101">
        <f>D758+D759+D760+D757</f>
        <v>24</v>
      </c>
      <c r="E774" s="90"/>
      <c r="F774" s="121"/>
      <c r="G774" s="127">
        <f t="shared" si="105"/>
        <v>0</v>
      </c>
    </row>
    <row r="775" spans="1:7" ht="13.5" x14ac:dyDescent="0.2">
      <c r="A775" s="98" t="s">
        <v>190</v>
      </c>
      <c r="B775" s="128" t="s">
        <v>259</v>
      </c>
      <c r="C775" s="129" t="s">
        <v>113</v>
      </c>
      <c r="D775" s="101">
        <f>D748+D749</f>
        <v>2</v>
      </c>
      <c r="E775" s="90"/>
      <c r="F775" s="121"/>
      <c r="G775" s="127">
        <f t="shared" si="105"/>
        <v>0</v>
      </c>
    </row>
    <row r="776" spans="1:7" ht="12.75" thickBot="1" x14ac:dyDescent="0.25">
      <c r="A776" s="362" t="s">
        <v>191</v>
      </c>
      <c r="B776" s="413" t="s">
        <v>484</v>
      </c>
      <c r="C776" s="414" t="s">
        <v>113</v>
      </c>
      <c r="D776" s="364">
        <f>D768</f>
        <v>2</v>
      </c>
      <c r="E776" s="365"/>
      <c r="F776" s="415"/>
      <c r="G776" s="416">
        <f t="shared" si="105"/>
        <v>0</v>
      </c>
    </row>
    <row r="777" spans="1:7" x14ac:dyDescent="0.2">
      <c r="A777" s="98"/>
      <c r="B777" s="128"/>
      <c r="C777" s="129"/>
      <c r="D777" s="101"/>
      <c r="E777" s="90"/>
      <c r="F777" s="121"/>
      <c r="G777" s="127"/>
    </row>
    <row r="778" spans="1:7" x14ac:dyDescent="0.2">
      <c r="A778" s="98" t="s">
        <v>192</v>
      </c>
      <c r="B778" s="128" t="s">
        <v>443</v>
      </c>
      <c r="C778" s="129" t="s">
        <v>113</v>
      </c>
      <c r="D778" s="101">
        <f>D766</f>
        <v>2</v>
      </c>
      <c r="E778" s="90"/>
      <c r="F778" s="121"/>
      <c r="G778" s="127">
        <f t="shared" si="105"/>
        <v>0</v>
      </c>
    </row>
    <row r="779" spans="1:7" ht="12.75" customHeight="1" x14ac:dyDescent="0.2">
      <c r="A779" s="98" t="s">
        <v>193</v>
      </c>
      <c r="B779" s="128" t="s">
        <v>442</v>
      </c>
      <c r="C779" s="129" t="s">
        <v>113</v>
      </c>
      <c r="D779" s="101">
        <f>D767</f>
        <v>2</v>
      </c>
      <c r="E779" s="90"/>
      <c r="F779" s="121"/>
      <c r="G779" s="127">
        <f t="shared" si="105"/>
        <v>0</v>
      </c>
    </row>
    <row r="780" spans="1:7" x14ac:dyDescent="0.2">
      <c r="A780" s="98" t="s">
        <v>194</v>
      </c>
      <c r="B780" s="128" t="s">
        <v>485</v>
      </c>
      <c r="C780" s="129" t="s">
        <v>113</v>
      </c>
      <c r="D780" s="101">
        <f>D770/2</f>
        <v>2</v>
      </c>
      <c r="E780" s="90"/>
      <c r="F780" s="121"/>
      <c r="G780" s="127">
        <f t="shared" si="105"/>
        <v>0</v>
      </c>
    </row>
    <row r="781" spans="1:7" x14ac:dyDescent="0.2">
      <c r="A781" s="98" t="s">
        <v>195</v>
      </c>
      <c r="B781" s="128" t="s">
        <v>444</v>
      </c>
      <c r="C781" s="129" t="s">
        <v>113</v>
      </c>
      <c r="D781" s="101">
        <f>D769</f>
        <v>5</v>
      </c>
      <c r="E781" s="90"/>
      <c r="F781" s="121"/>
      <c r="G781" s="127">
        <f t="shared" si="105"/>
        <v>0</v>
      </c>
    </row>
    <row r="782" spans="1:7" x14ac:dyDescent="0.2">
      <c r="A782" s="98"/>
      <c r="B782" s="128"/>
      <c r="C782" s="129"/>
      <c r="D782" s="101"/>
      <c r="E782" s="90"/>
      <c r="F782" s="121"/>
      <c r="G782" s="127"/>
    </row>
    <row r="783" spans="1:7" x14ac:dyDescent="0.2">
      <c r="A783" s="109" t="s">
        <v>161</v>
      </c>
      <c r="B783" s="110" t="s">
        <v>69</v>
      </c>
      <c r="C783" s="111"/>
      <c r="D783" s="112"/>
      <c r="E783" s="113"/>
      <c r="F783" s="114"/>
      <c r="G783" s="115"/>
    </row>
    <row r="784" spans="1:7" ht="12.75" x14ac:dyDescent="0.2">
      <c r="A784" s="116" t="s">
        <v>176</v>
      </c>
      <c r="B784" s="117" t="s">
        <v>235</v>
      </c>
      <c r="C784" s="71"/>
      <c r="D784" s="72"/>
      <c r="E784" s="118"/>
      <c r="F784" s="74"/>
      <c r="G784" s="75">
        <f>D784*E784</f>
        <v>0</v>
      </c>
    </row>
    <row r="785" spans="1:7" ht="25.5" x14ac:dyDescent="0.2">
      <c r="A785" s="119" t="s">
        <v>198</v>
      </c>
      <c r="B785" s="123" t="s">
        <v>477</v>
      </c>
      <c r="C785" s="77"/>
      <c r="D785" s="78"/>
      <c r="E785" s="118"/>
      <c r="F785" s="121"/>
      <c r="G785" s="122"/>
    </row>
    <row r="786" spans="1:7" ht="12.75" x14ac:dyDescent="0.2">
      <c r="A786" s="119" t="s">
        <v>487</v>
      </c>
      <c r="B786" s="124" t="s">
        <v>479</v>
      </c>
      <c r="C786" s="77" t="s">
        <v>8</v>
      </c>
      <c r="D786" s="78">
        <v>1</v>
      </c>
      <c r="E786" s="118"/>
      <c r="F786" s="121"/>
      <c r="G786" s="122">
        <f t="shared" ref="G786:G817" si="107">+D786*E786+D786*F786</f>
        <v>0</v>
      </c>
    </row>
    <row r="787" spans="1:7" ht="12.75" x14ac:dyDescent="0.2">
      <c r="A787" s="119" t="s">
        <v>488</v>
      </c>
      <c r="B787" s="124" t="s">
        <v>481</v>
      </c>
      <c r="C787" s="77" t="s">
        <v>8</v>
      </c>
      <c r="D787" s="78">
        <v>1</v>
      </c>
      <c r="E787" s="118"/>
      <c r="F787" s="121"/>
      <c r="G787" s="122">
        <f t="shared" si="107"/>
        <v>0</v>
      </c>
    </row>
    <row r="788" spans="1:7" ht="12.75" x14ac:dyDescent="0.2">
      <c r="A788" s="116" t="s">
        <v>177</v>
      </c>
      <c r="B788" s="117" t="s">
        <v>236</v>
      </c>
      <c r="C788" s="125"/>
      <c r="D788" s="126"/>
      <c r="E788" s="118"/>
      <c r="F788" s="121"/>
      <c r="G788" s="127">
        <f t="shared" si="107"/>
        <v>0</v>
      </c>
    </row>
    <row r="789" spans="1:7" ht="12.75" x14ac:dyDescent="0.2">
      <c r="A789" s="119"/>
      <c r="B789" s="124" t="s">
        <v>366</v>
      </c>
      <c r="C789" s="71" t="s">
        <v>8</v>
      </c>
      <c r="D789" s="72">
        <v>16</v>
      </c>
      <c r="E789" s="118"/>
      <c r="F789" s="121"/>
      <c r="G789" s="127">
        <f t="shared" si="107"/>
        <v>0</v>
      </c>
    </row>
    <row r="790" spans="1:7" ht="12.75" x14ac:dyDescent="0.2">
      <c r="A790" s="119"/>
      <c r="B790" s="124" t="s">
        <v>367</v>
      </c>
      <c r="C790" s="71" t="s">
        <v>8</v>
      </c>
      <c r="D790" s="72">
        <v>6</v>
      </c>
      <c r="E790" s="118"/>
      <c r="F790" s="121"/>
      <c r="G790" s="127">
        <f t="shared" si="107"/>
        <v>0</v>
      </c>
    </row>
    <row r="791" spans="1:7" ht="12.75" x14ac:dyDescent="0.2">
      <c r="A791" s="119"/>
      <c r="B791" s="124" t="s">
        <v>489</v>
      </c>
      <c r="C791" s="71" t="s">
        <v>8</v>
      </c>
      <c r="D791" s="72">
        <v>2</v>
      </c>
      <c r="E791" s="118"/>
      <c r="F791" s="121"/>
      <c r="G791" s="127">
        <f>+D791*E791+D791*F791</f>
        <v>0</v>
      </c>
    </row>
    <row r="792" spans="1:7" ht="12.75" x14ac:dyDescent="0.2">
      <c r="A792" s="119"/>
      <c r="B792" s="124" t="s">
        <v>293</v>
      </c>
      <c r="C792" s="71" t="s">
        <v>8</v>
      </c>
      <c r="D792" s="72">
        <v>11</v>
      </c>
      <c r="E792" s="118"/>
      <c r="F792" s="121"/>
      <c r="G792" s="127">
        <f t="shared" si="107"/>
        <v>0</v>
      </c>
    </row>
    <row r="793" spans="1:7" ht="12.75" x14ac:dyDescent="0.2">
      <c r="A793" s="119"/>
      <c r="B793" s="124" t="s">
        <v>278</v>
      </c>
      <c r="C793" s="71" t="s">
        <v>8</v>
      </c>
      <c r="D793" s="72">
        <v>9</v>
      </c>
      <c r="E793" s="118"/>
      <c r="F793" s="121"/>
      <c r="G793" s="127">
        <f t="shared" si="107"/>
        <v>0</v>
      </c>
    </row>
    <row r="794" spans="1:7" ht="12.75" x14ac:dyDescent="0.2">
      <c r="A794" s="119"/>
      <c r="B794" s="124" t="s">
        <v>441</v>
      </c>
      <c r="C794" s="71" t="s">
        <v>8</v>
      </c>
      <c r="D794" s="72">
        <v>3</v>
      </c>
      <c r="E794" s="118"/>
      <c r="F794" s="121"/>
      <c r="G794" s="127">
        <f t="shared" si="107"/>
        <v>0</v>
      </c>
    </row>
    <row r="795" spans="1:7" ht="12.75" x14ac:dyDescent="0.2">
      <c r="A795" s="119"/>
      <c r="B795" s="124" t="s">
        <v>482</v>
      </c>
      <c r="C795" s="77" t="s">
        <v>8</v>
      </c>
      <c r="D795" s="78">
        <v>14</v>
      </c>
      <c r="E795" s="118"/>
      <c r="F795" s="121"/>
      <c r="G795" s="127">
        <f t="shared" si="107"/>
        <v>0</v>
      </c>
    </row>
    <row r="796" spans="1:7" ht="12.75" x14ac:dyDescent="0.2">
      <c r="A796" s="119"/>
      <c r="B796" s="124" t="s">
        <v>368</v>
      </c>
      <c r="C796" s="77" t="s">
        <v>8</v>
      </c>
      <c r="D796" s="78">
        <v>8</v>
      </c>
      <c r="E796" s="118"/>
      <c r="F796" s="121"/>
      <c r="G796" s="127">
        <f t="shared" si="107"/>
        <v>0</v>
      </c>
    </row>
    <row r="797" spans="1:7" ht="12.75" x14ac:dyDescent="0.2">
      <c r="A797" s="119"/>
      <c r="B797" s="124" t="s">
        <v>440</v>
      </c>
      <c r="C797" s="77" t="s">
        <v>8</v>
      </c>
      <c r="D797" s="78">
        <v>4</v>
      </c>
      <c r="E797" s="118"/>
      <c r="F797" s="121"/>
      <c r="G797" s="127">
        <f t="shared" si="107"/>
        <v>0</v>
      </c>
    </row>
    <row r="798" spans="1:7" ht="12.75" x14ac:dyDescent="0.2">
      <c r="A798" s="119"/>
      <c r="B798" s="124" t="s">
        <v>483</v>
      </c>
      <c r="C798" s="71" t="s">
        <v>8</v>
      </c>
      <c r="D798" s="72">
        <v>5</v>
      </c>
      <c r="E798" s="118"/>
      <c r="F798" s="121"/>
      <c r="G798" s="127">
        <f t="shared" si="107"/>
        <v>0</v>
      </c>
    </row>
    <row r="799" spans="1:7" ht="12.75" x14ac:dyDescent="0.2">
      <c r="A799" s="119"/>
      <c r="B799" s="124" t="s">
        <v>369</v>
      </c>
      <c r="C799" s="71" t="s">
        <v>8</v>
      </c>
      <c r="D799" s="72">
        <v>2</v>
      </c>
      <c r="E799" s="118"/>
      <c r="F799" s="121"/>
      <c r="G799" s="127">
        <f t="shared" si="107"/>
        <v>0</v>
      </c>
    </row>
    <row r="800" spans="1:7" ht="12.75" x14ac:dyDescent="0.2">
      <c r="A800" s="119"/>
      <c r="B800" s="124" t="s">
        <v>370</v>
      </c>
      <c r="C800" s="71" t="s">
        <v>8</v>
      </c>
      <c r="D800" s="72">
        <v>2</v>
      </c>
      <c r="E800" s="118"/>
      <c r="F800" s="121"/>
      <c r="G800" s="127">
        <f t="shared" si="107"/>
        <v>0</v>
      </c>
    </row>
    <row r="801" spans="1:7" ht="12.75" x14ac:dyDescent="0.2">
      <c r="A801" s="119"/>
      <c r="B801" s="124" t="s">
        <v>371</v>
      </c>
      <c r="C801" s="71" t="s">
        <v>8</v>
      </c>
      <c r="D801" s="72">
        <v>5</v>
      </c>
      <c r="E801" s="118"/>
      <c r="F801" s="121"/>
      <c r="G801" s="127">
        <f t="shared" si="107"/>
        <v>0</v>
      </c>
    </row>
    <row r="802" spans="1:7" ht="12.75" x14ac:dyDescent="0.2">
      <c r="A802" s="119"/>
      <c r="B802" s="124" t="s">
        <v>372</v>
      </c>
      <c r="C802" s="71" t="s">
        <v>8</v>
      </c>
      <c r="D802" s="72">
        <f>D793</f>
        <v>9</v>
      </c>
      <c r="E802" s="118"/>
      <c r="F802" s="121"/>
      <c r="G802" s="127">
        <f t="shared" si="107"/>
        <v>0</v>
      </c>
    </row>
    <row r="803" spans="1:7" ht="12.75" x14ac:dyDescent="0.2">
      <c r="A803" s="119"/>
      <c r="B803" s="124" t="s">
        <v>373</v>
      </c>
      <c r="C803" s="71" t="s">
        <v>8</v>
      </c>
      <c r="D803" s="72">
        <v>2</v>
      </c>
      <c r="E803" s="118"/>
      <c r="F803" s="121"/>
      <c r="G803" s="127">
        <f t="shared" si="107"/>
        <v>0</v>
      </c>
    </row>
    <row r="804" spans="1:7" ht="12.75" x14ac:dyDescent="0.2">
      <c r="A804" s="119"/>
      <c r="B804" s="124" t="s">
        <v>374</v>
      </c>
      <c r="C804" s="71" t="s">
        <v>8</v>
      </c>
      <c r="D804" s="72">
        <v>2</v>
      </c>
      <c r="E804" s="118"/>
      <c r="F804" s="121"/>
      <c r="G804" s="127">
        <f t="shared" si="107"/>
        <v>0</v>
      </c>
    </row>
    <row r="805" spans="1:7" ht="12.75" x14ac:dyDescent="0.2">
      <c r="A805" s="119"/>
      <c r="B805" s="124" t="s">
        <v>375</v>
      </c>
      <c r="C805" s="71" t="s">
        <v>8</v>
      </c>
      <c r="D805" s="72">
        <v>2</v>
      </c>
      <c r="E805" s="118"/>
      <c r="F805" s="121"/>
      <c r="G805" s="127">
        <f t="shared" si="107"/>
        <v>0</v>
      </c>
    </row>
    <row r="806" spans="1:7" ht="12.75" x14ac:dyDescent="0.2">
      <c r="A806" s="119"/>
      <c r="B806" s="124" t="s">
        <v>403</v>
      </c>
      <c r="C806" s="71" t="s">
        <v>8</v>
      </c>
      <c r="D806" s="72">
        <v>5</v>
      </c>
      <c r="E806" s="118"/>
      <c r="F806" s="121"/>
      <c r="G806" s="127">
        <f t="shared" si="107"/>
        <v>0</v>
      </c>
    </row>
    <row r="807" spans="1:7" ht="12.75" x14ac:dyDescent="0.2">
      <c r="A807" s="119"/>
      <c r="B807" s="124" t="s">
        <v>376</v>
      </c>
      <c r="C807" s="71" t="s">
        <v>8</v>
      </c>
      <c r="D807" s="72">
        <v>4</v>
      </c>
      <c r="E807" s="118"/>
      <c r="F807" s="121"/>
      <c r="G807" s="127">
        <f t="shared" si="107"/>
        <v>0</v>
      </c>
    </row>
    <row r="808" spans="1:7" ht="12.75" x14ac:dyDescent="0.2">
      <c r="A808" s="119"/>
      <c r="B808" s="124" t="s">
        <v>404</v>
      </c>
      <c r="C808" s="71" t="s">
        <v>8</v>
      </c>
      <c r="D808" s="72">
        <v>2</v>
      </c>
      <c r="E808" s="118"/>
      <c r="F808" s="121"/>
      <c r="G808" s="127">
        <f t="shared" si="107"/>
        <v>0</v>
      </c>
    </row>
    <row r="809" spans="1:7" ht="12.75" x14ac:dyDescent="0.2">
      <c r="A809" s="116" t="s">
        <v>190</v>
      </c>
      <c r="B809" s="117" t="s">
        <v>237</v>
      </c>
      <c r="C809" s="125"/>
      <c r="D809" s="126"/>
      <c r="E809" s="118"/>
      <c r="F809" s="121"/>
      <c r="G809" s="127">
        <f t="shared" si="107"/>
        <v>0</v>
      </c>
    </row>
    <row r="810" spans="1:7" ht="13.5" x14ac:dyDescent="0.2">
      <c r="A810" s="98" t="s">
        <v>176</v>
      </c>
      <c r="B810" s="128" t="s">
        <v>258</v>
      </c>
      <c r="C810" s="129" t="s">
        <v>238</v>
      </c>
      <c r="D810" s="101">
        <f>D789+D791+D793+D792+D790</f>
        <v>44</v>
      </c>
      <c r="E810" s="90"/>
      <c r="F810" s="121"/>
      <c r="G810" s="127">
        <f t="shared" si="107"/>
        <v>0</v>
      </c>
    </row>
    <row r="811" spans="1:7" ht="13.5" x14ac:dyDescent="0.2">
      <c r="A811" s="98" t="s">
        <v>177</v>
      </c>
      <c r="B811" s="128" t="s">
        <v>257</v>
      </c>
      <c r="C811" s="129" t="s">
        <v>238</v>
      </c>
      <c r="D811" s="101">
        <f>D795+D796+D797</f>
        <v>26</v>
      </c>
      <c r="E811" s="90"/>
      <c r="F811" s="121"/>
      <c r="G811" s="127">
        <f t="shared" si="107"/>
        <v>0</v>
      </c>
    </row>
    <row r="812" spans="1:7" ht="13.5" x14ac:dyDescent="0.2">
      <c r="A812" s="98" t="s">
        <v>190</v>
      </c>
      <c r="B812" s="128" t="s">
        <v>259</v>
      </c>
      <c r="C812" s="129" t="s">
        <v>113</v>
      </c>
      <c r="D812" s="101">
        <f>D786+D787</f>
        <v>2</v>
      </c>
      <c r="E812" s="90"/>
      <c r="F812" s="121"/>
      <c r="G812" s="127">
        <f t="shared" si="107"/>
        <v>0</v>
      </c>
    </row>
    <row r="813" spans="1:7" x14ac:dyDescent="0.2">
      <c r="A813" s="98" t="s">
        <v>191</v>
      </c>
      <c r="B813" s="128" t="s">
        <v>484</v>
      </c>
      <c r="C813" s="129" t="s">
        <v>113</v>
      </c>
      <c r="D813" s="101">
        <f>D805</f>
        <v>2</v>
      </c>
      <c r="E813" s="90"/>
      <c r="F813" s="121"/>
      <c r="G813" s="127">
        <f t="shared" si="107"/>
        <v>0</v>
      </c>
    </row>
    <row r="814" spans="1:7" x14ac:dyDescent="0.2">
      <c r="A814" s="98" t="s">
        <v>192</v>
      </c>
      <c r="B814" s="128" t="s">
        <v>443</v>
      </c>
      <c r="C814" s="129" t="s">
        <v>113</v>
      </c>
      <c r="D814" s="101">
        <f>D803</f>
        <v>2</v>
      </c>
      <c r="E814" s="90"/>
      <c r="F814" s="121"/>
      <c r="G814" s="127">
        <f t="shared" si="107"/>
        <v>0</v>
      </c>
    </row>
    <row r="815" spans="1:7" x14ac:dyDescent="0.2">
      <c r="A815" s="98" t="s">
        <v>193</v>
      </c>
      <c r="B815" s="128" t="s">
        <v>442</v>
      </c>
      <c r="C815" s="129" t="s">
        <v>113</v>
      </c>
      <c r="D815" s="101">
        <f>D804</f>
        <v>2</v>
      </c>
      <c r="E815" s="90"/>
      <c r="F815" s="121"/>
      <c r="G815" s="127">
        <f t="shared" si="107"/>
        <v>0</v>
      </c>
    </row>
    <row r="816" spans="1:7" x14ac:dyDescent="0.2">
      <c r="A816" s="98" t="s">
        <v>194</v>
      </c>
      <c r="B816" s="128" t="s">
        <v>485</v>
      </c>
      <c r="C816" s="129" t="s">
        <v>113</v>
      </c>
      <c r="D816" s="101">
        <f>D807/2</f>
        <v>2</v>
      </c>
      <c r="E816" s="90"/>
      <c r="F816" s="121"/>
      <c r="G816" s="127">
        <f t="shared" si="107"/>
        <v>0</v>
      </c>
    </row>
    <row r="817" spans="1:9" x14ac:dyDescent="0.2">
      <c r="A817" s="98" t="s">
        <v>195</v>
      </c>
      <c r="B817" s="128" t="s">
        <v>444</v>
      </c>
      <c r="C817" s="129" t="s">
        <v>113</v>
      </c>
      <c r="D817" s="101">
        <f>D806</f>
        <v>5</v>
      </c>
      <c r="E817" s="90"/>
      <c r="F817" s="121"/>
      <c r="G817" s="127">
        <f t="shared" si="107"/>
        <v>0</v>
      </c>
    </row>
    <row r="818" spans="1:9" ht="12.75" x14ac:dyDescent="0.2">
      <c r="A818" s="119"/>
      <c r="B818" s="124"/>
      <c r="C818" s="77"/>
      <c r="D818" s="78"/>
      <c r="E818" s="118"/>
      <c r="F818" s="121"/>
      <c r="G818" s="127"/>
    </row>
    <row r="819" spans="1:9" ht="12.75" x14ac:dyDescent="0.2">
      <c r="A819" s="119"/>
      <c r="B819" s="124"/>
      <c r="C819" s="77"/>
      <c r="D819" s="78"/>
      <c r="E819" s="118"/>
      <c r="F819" s="121"/>
      <c r="G819" s="127"/>
    </row>
    <row r="820" spans="1:9" ht="12.75" x14ac:dyDescent="0.2">
      <c r="A820" s="119"/>
      <c r="B820" s="124"/>
      <c r="C820" s="77"/>
      <c r="D820" s="78"/>
      <c r="E820" s="118"/>
      <c r="F820" s="121"/>
      <c r="G820" s="127"/>
    </row>
    <row r="821" spans="1:9" ht="12.75" x14ac:dyDescent="0.2">
      <c r="A821" s="119"/>
      <c r="B821" s="124"/>
      <c r="C821" s="77"/>
      <c r="D821" s="78"/>
      <c r="E821" s="118"/>
      <c r="F821" s="121"/>
      <c r="G821" s="127"/>
    </row>
    <row r="822" spans="1:9" ht="12.75" x14ac:dyDescent="0.2">
      <c r="A822" s="119"/>
      <c r="B822" s="124"/>
      <c r="C822" s="77"/>
      <c r="D822" s="78"/>
      <c r="E822" s="118"/>
      <c r="F822" s="121"/>
      <c r="G822" s="127"/>
    </row>
    <row r="823" spans="1:9" ht="12.75" x14ac:dyDescent="0.2">
      <c r="A823" s="119"/>
      <c r="B823" s="124"/>
      <c r="C823" s="77"/>
      <c r="D823" s="78"/>
      <c r="E823" s="118"/>
      <c r="F823" s="121"/>
      <c r="G823" s="127"/>
    </row>
    <row r="824" spans="1:9" ht="12.75" x14ac:dyDescent="0.2">
      <c r="A824" s="119"/>
      <c r="B824" s="124"/>
      <c r="C824" s="77"/>
      <c r="D824" s="78"/>
      <c r="E824" s="118"/>
      <c r="F824" s="121"/>
      <c r="G824" s="127"/>
    </row>
    <row r="825" spans="1:9" ht="12.75" x14ac:dyDescent="0.2">
      <c r="A825" s="119"/>
      <c r="B825" s="124"/>
      <c r="C825" s="77"/>
      <c r="D825" s="78"/>
      <c r="E825" s="118"/>
      <c r="F825" s="121"/>
      <c r="G825" s="127"/>
    </row>
    <row r="826" spans="1:9" ht="12.75" x14ac:dyDescent="0.2">
      <c r="A826" s="119"/>
      <c r="B826" s="124"/>
      <c r="C826" s="77"/>
      <c r="D826" s="78"/>
      <c r="E826" s="118"/>
      <c r="F826" s="121"/>
      <c r="G826" s="127"/>
    </row>
    <row r="827" spans="1:9" ht="12.75" x14ac:dyDescent="0.2">
      <c r="A827" s="119"/>
      <c r="B827" s="124"/>
      <c r="C827" s="77"/>
      <c r="D827" s="78"/>
      <c r="E827" s="118"/>
      <c r="F827" s="121"/>
      <c r="G827" s="127"/>
    </row>
    <row r="828" spans="1:9" ht="12.75" x14ac:dyDescent="0.2">
      <c r="A828" s="119"/>
      <c r="B828" s="124"/>
      <c r="C828" s="77"/>
      <c r="D828" s="78"/>
      <c r="E828" s="118"/>
      <c r="F828" s="121"/>
      <c r="G828" s="127"/>
    </row>
    <row r="829" spans="1:9" ht="13.5" thickBot="1" x14ac:dyDescent="0.25">
      <c r="A829" s="119"/>
      <c r="B829" s="124"/>
      <c r="C829" s="77"/>
      <c r="D829" s="78"/>
      <c r="E829" s="118"/>
      <c r="F829" s="121"/>
      <c r="G829" s="127"/>
    </row>
    <row r="830" spans="1:9" x14ac:dyDescent="0.2">
      <c r="A830" s="137"/>
      <c r="B830" s="147" t="s">
        <v>197</v>
      </c>
      <c r="C830" s="417"/>
      <c r="D830" s="418"/>
      <c r="E830" s="419"/>
      <c r="F830" s="151"/>
      <c r="G830" s="386"/>
    </row>
    <row r="831" spans="1:9" ht="12.75" thickBot="1" x14ac:dyDescent="0.25">
      <c r="A831" s="362"/>
      <c r="B831" s="356" t="s">
        <v>140</v>
      </c>
      <c r="C831" s="357"/>
      <c r="D831" s="371"/>
      <c r="E831" s="359"/>
      <c r="F831" s="358"/>
      <c r="G831" s="360">
        <f>SUM(G746:G830)</f>
        <v>0</v>
      </c>
      <c r="I831" s="54"/>
    </row>
    <row r="832" spans="1:9" x14ac:dyDescent="0.2">
      <c r="A832" s="98"/>
      <c r="B832" s="179"/>
      <c r="C832" s="96"/>
      <c r="D832" s="184"/>
      <c r="E832" s="185"/>
      <c r="F832" s="91"/>
      <c r="G832" s="233"/>
      <c r="I832" s="54"/>
    </row>
    <row r="833" spans="1:7" x14ac:dyDescent="0.2">
      <c r="A833" s="330"/>
      <c r="B833" s="99" t="s">
        <v>385</v>
      </c>
      <c r="C833" s="100"/>
      <c r="D833" s="89"/>
      <c r="E833" s="90"/>
      <c r="F833" s="91"/>
      <c r="G833" s="92"/>
    </row>
    <row r="834" spans="1:7" x14ac:dyDescent="0.2">
      <c r="A834" s="330"/>
      <c r="B834" s="102" t="s">
        <v>384</v>
      </c>
      <c r="C834" s="100"/>
      <c r="D834" s="89"/>
      <c r="E834" s="90"/>
      <c r="F834" s="91"/>
      <c r="G834" s="92"/>
    </row>
    <row r="835" spans="1:7" x14ac:dyDescent="0.2">
      <c r="A835" s="331">
        <v>12.1</v>
      </c>
      <c r="B835" s="309" t="s">
        <v>386</v>
      </c>
      <c r="C835" s="332"/>
      <c r="D835" s="333"/>
      <c r="E835" s="209"/>
      <c r="F835" s="284"/>
      <c r="G835" s="285"/>
    </row>
    <row r="836" spans="1:7" ht="62.25" customHeight="1" x14ac:dyDescent="0.2">
      <c r="A836" s="330"/>
      <c r="B836" s="128" t="s">
        <v>387</v>
      </c>
      <c r="C836" s="129"/>
      <c r="D836" s="89"/>
      <c r="E836" s="90"/>
      <c r="F836" s="91"/>
      <c r="G836" s="92"/>
    </row>
    <row r="837" spans="1:7" ht="26.25" customHeight="1" x14ac:dyDescent="0.2">
      <c r="A837" s="330"/>
      <c r="B837" s="128" t="s">
        <v>388</v>
      </c>
      <c r="C837" s="129"/>
      <c r="D837" s="89"/>
      <c r="E837" s="90"/>
      <c r="F837" s="91"/>
      <c r="G837" s="92"/>
    </row>
    <row r="838" spans="1:7" ht="24" x14ac:dyDescent="0.2">
      <c r="A838" s="330"/>
      <c r="B838" s="128" t="s">
        <v>389</v>
      </c>
      <c r="C838" s="129"/>
      <c r="D838" s="89"/>
      <c r="E838" s="90"/>
      <c r="F838" s="91"/>
      <c r="G838" s="92"/>
    </row>
    <row r="839" spans="1:7" ht="37.5" customHeight="1" x14ac:dyDescent="0.2">
      <c r="A839" s="330"/>
      <c r="B839" s="128" t="s">
        <v>390</v>
      </c>
      <c r="C839" s="129"/>
      <c r="D839" s="89"/>
      <c r="E839" s="90"/>
      <c r="F839" s="91"/>
      <c r="G839" s="92"/>
    </row>
    <row r="840" spans="1:7" x14ac:dyDescent="0.2">
      <c r="A840" s="334">
        <v>12.2</v>
      </c>
      <c r="B840" s="335" t="s">
        <v>391</v>
      </c>
      <c r="C840" s="336"/>
      <c r="D840" s="337"/>
      <c r="E840" s="323"/>
      <c r="F840" s="232"/>
      <c r="G840" s="233"/>
    </row>
    <row r="841" spans="1:7" ht="24" x14ac:dyDescent="0.2">
      <c r="A841" s="330"/>
      <c r="B841" s="128" t="s">
        <v>392</v>
      </c>
      <c r="C841" s="129"/>
      <c r="D841" s="89"/>
      <c r="E841" s="90"/>
      <c r="F841" s="91"/>
      <c r="G841" s="92"/>
    </row>
    <row r="842" spans="1:7" x14ac:dyDescent="0.2">
      <c r="A842" s="338">
        <v>1</v>
      </c>
      <c r="B842" s="339" t="s">
        <v>67</v>
      </c>
      <c r="C842" s="340"/>
      <c r="D842" s="341"/>
      <c r="E842" s="342"/>
      <c r="F842" s="343"/>
      <c r="G842" s="344"/>
    </row>
    <row r="843" spans="1:7" x14ac:dyDescent="0.2">
      <c r="A843" s="345" t="s">
        <v>198</v>
      </c>
      <c r="B843" s="346" t="s">
        <v>391</v>
      </c>
      <c r="C843" s="336"/>
      <c r="D843" s="337"/>
      <c r="E843" s="323"/>
      <c r="F843" s="264"/>
      <c r="G843" s="127">
        <f t="shared" ref="G843:G851" si="108">+D843*E843+D843*F843</f>
        <v>0</v>
      </c>
    </row>
    <row r="844" spans="1:7" x14ac:dyDescent="0.2">
      <c r="A844" s="330" t="s">
        <v>176</v>
      </c>
      <c r="B844" s="128" t="s">
        <v>393</v>
      </c>
      <c r="C844" s="129" t="s">
        <v>113</v>
      </c>
      <c r="D844" s="89">
        <v>1</v>
      </c>
      <c r="E844" s="90"/>
      <c r="F844" s="91"/>
      <c r="G844" s="127">
        <f t="shared" si="108"/>
        <v>0</v>
      </c>
    </row>
    <row r="845" spans="1:7" x14ac:dyDescent="0.2">
      <c r="A845" s="330" t="s">
        <v>177</v>
      </c>
      <c r="B845" s="128" t="s">
        <v>394</v>
      </c>
      <c r="C845" s="129" t="s">
        <v>113</v>
      </c>
      <c r="D845" s="89">
        <v>1</v>
      </c>
      <c r="E845" s="90"/>
      <c r="F845" s="91"/>
      <c r="G845" s="127">
        <f t="shared" si="108"/>
        <v>0</v>
      </c>
    </row>
    <row r="846" spans="1:7" x14ac:dyDescent="0.2">
      <c r="A846" s="330" t="s">
        <v>190</v>
      </c>
      <c r="B846" s="128" t="s">
        <v>395</v>
      </c>
      <c r="C846" s="129" t="s">
        <v>113</v>
      </c>
      <c r="D846" s="89">
        <v>5</v>
      </c>
      <c r="E846" s="90"/>
      <c r="F846" s="91"/>
      <c r="G846" s="127">
        <f t="shared" si="108"/>
        <v>0</v>
      </c>
    </row>
    <row r="847" spans="1:7" ht="24" x14ac:dyDescent="0.2">
      <c r="A847" s="330" t="s">
        <v>191</v>
      </c>
      <c r="B847" s="128" t="s">
        <v>396</v>
      </c>
      <c r="C847" s="129" t="s">
        <v>113</v>
      </c>
      <c r="D847" s="89">
        <v>1</v>
      </c>
      <c r="E847" s="90"/>
      <c r="F847" s="91"/>
      <c r="G847" s="127">
        <f t="shared" si="108"/>
        <v>0</v>
      </c>
    </row>
    <row r="848" spans="1:7" x14ac:dyDescent="0.2">
      <c r="A848" s="330" t="s">
        <v>192</v>
      </c>
      <c r="B848" s="128" t="s">
        <v>397</v>
      </c>
      <c r="C848" s="129" t="s">
        <v>113</v>
      </c>
      <c r="D848" s="89">
        <v>1</v>
      </c>
      <c r="E848" s="90"/>
      <c r="F848" s="91"/>
      <c r="G848" s="127">
        <f t="shared" si="108"/>
        <v>0</v>
      </c>
    </row>
    <row r="849" spans="1:7" x14ac:dyDescent="0.2">
      <c r="A849" s="330" t="s">
        <v>193</v>
      </c>
      <c r="B849" s="128" t="s">
        <v>398</v>
      </c>
      <c r="C849" s="129" t="s">
        <v>113</v>
      </c>
      <c r="D849" s="89">
        <v>6</v>
      </c>
      <c r="E849" s="90"/>
      <c r="F849" s="91"/>
      <c r="G849" s="127">
        <f t="shared" si="108"/>
        <v>0</v>
      </c>
    </row>
    <row r="850" spans="1:7" x14ac:dyDescent="0.2">
      <c r="A850" s="330" t="s">
        <v>194</v>
      </c>
      <c r="B850" s="128" t="s">
        <v>399</v>
      </c>
      <c r="C850" s="129" t="s">
        <v>113</v>
      </c>
      <c r="D850" s="89">
        <v>1</v>
      </c>
      <c r="E850" s="90"/>
      <c r="F850" s="91"/>
      <c r="G850" s="127">
        <f t="shared" si="108"/>
        <v>0</v>
      </c>
    </row>
    <row r="851" spans="1:7" x14ac:dyDescent="0.2">
      <c r="A851" s="330" t="s">
        <v>195</v>
      </c>
      <c r="B851" s="128" t="s">
        <v>400</v>
      </c>
      <c r="C851" s="129" t="s">
        <v>113</v>
      </c>
      <c r="D851" s="89">
        <v>1</v>
      </c>
      <c r="E851" s="90"/>
      <c r="F851" s="91"/>
      <c r="G851" s="127">
        <f t="shared" si="108"/>
        <v>0</v>
      </c>
    </row>
    <row r="852" spans="1:7" x14ac:dyDescent="0.2">
      <c r="A852" s="347"/>
      <c r="B852" s="348"/>
      <c r="C852" s="349"/>
      <c r="D852" s="337"/>
      <c r="E852" s="350"/>
      <c r="F852" s="351"/>
      <c r="G852" s="127"/>
    </row>
    <row r="853" spans="1:7" x14ac:dyDescent="0.2">
      <c r="A853" s="338">
        <v>2</v>
      </c>
      <c r="B853" s="339" t="s">
        <v>69</v>
      </c>
      <c r="C853" s="340"/>
      <c r="D853" s="341"/>
      <c r="E853" s="342"/>
      <c r="F853" s="343"/>
      <c r="G853" s="344"/>
    </row>
    <row r="854" spans="1:7" x14ac:dyDescent="0.2">
      <c r="A854" s="345" t="s">
        <v>198</v>
      </c>
      <c r="B854" s="346" t="s">
        <v>391</v>
      </c>
      <c r="C854" s="336"/>
      <c r="D854" s="337"/>
      <c r="E854" s="323"/>
      <c r="F854" s="264"/>
      <c r="G854" s="127">
        <f t="shared" ref="G854:G861" si="109">+D854*E854+D854*F854</f>
        <v>0</v>
      </c>
    </row>
    <row r="855" spans="1:7" x14ac:dyDescent="0.2">
      <c r="A855" s="330" t="s">
        <v>176</v>
      </c>
      <c r="B855" s="128" t="s">
        <v>491</v>
      </c>
      <c r="C855" s="129" t="s">
        <v>113</v>
      </c>
      <c r="D855" s="89">
        <v>5</v>
      </c>
      <c r="E855" s="90"/>
      <c r="F855" s="91"/>
      <c r="G855" s="127">
        <f t="shared" si="109"/>
        <v>0</v>
      </c>
    </row>
    <row r="856" spans="1:7" ht="24" x14ac:dyDescent="0.2">
      <c r="A856" s="330" t="s">
        <v>177</v>
      </c>
      <c r="B856" s="128" t="s">
        <v>396</v>
      </c>
      <c r="C856" s="129" t="s">
        <v>113</v>
      </c>
      <c r="D856" s="89">
        <v>1</v>
      </c>
      <c r="E856" s="90"/>
      <c r="F856" s="91"/>
      <c r="G856" s="127">
        <f t="shared" si="109"/>
        <v>0</v>
      </c>
    </row>
    <row r="857" spans="1:7" x14ac:dyDescent="0.2">
      <c r="A857" s="330" t="s">
        <v>190</v>
      </c>
      <c r="B857" s="128" t="s">
        <v>397</v>
      </c>
      <c r="C857" s="129" t="s">
        <v>113</v>
      </c>
      <c r="D857" s="89">
        <v>1</v>
      </c>
      <c r="E857" s="90"/>
      <c r="F857" s="91"/>
      <c r="G857" s="127">
        <f t="shared" si="109"/>
        <v>0</v>
      </c>
    </row>
    <row r="858" spans="1:7" x14ac:dyDescent="0.2">
      <c r="A858" s="330" t="s">
        <v>191</v>
      </c>
      <c r="B858" s="128" t="s">
        <v>398</v>
      </c>
      <c r="C858" s="129" t="s">
        <v>113</v>
      </c>
      <c r="D858" s="89">
        <v>5</v>
      </c>
      <c r="E858" s="90"/>
      <c r="F858" s="91"/>
      <c r="G858" s="127">
        <f t="shared" si="109"/>
        <v>0</v>
      </c>
    </row>
    <row r="859" spans="1:7" x14ac:dyDescent="0.2">
      <c r="A859" s="330" t="s">
        <v>192</v>
      </c>
      <c r="B859" s="128" t="s">
        <v>490</v>
      </c>
      <c r="C859" s="129" t="s">
        <v>113</v>
      </c>
      <c r="D859" s="89">
        <v>1</v>
      </c>
      <c r="E859" s="90"/>
      <c r="F859" s="91"/>
      <c r="G859" s="127">
        <f t="shared" ref="G859" si="110">+D859*E859+D859*F859</f>
        <v>0</v>
      </c>
    </row>
    <row r="860" spans="1:7" x14ac:dyDescent="0.2">
      <c r="A860" s="330" t="s">
        <v>193</v>
      </c>
      <c r="B860" s="128" t="s">
        <v>399</v>
      </c>
      <c r="C860" s="129" t="s">
        <v>113</v>
      </c>
      <c r="D860" s="89">
        <v>1</v>
      </c>
      <c r="E860" s="90"/>
      <c r="F860" s="91"/>
      <c r="G860" s="127">
        <f t="shared" si="109"/>
        <v>0</v>
      </c>
    </row>
    <row r="861" spans="1:7" x14ac:dyDescent="0.2">
      <c r="A861" s="330" t="s">
        <v>194</v>
      </c>
      <c r="B861" s="128" t="s">
        <v>400</v>
      </c>
      <c r="C861" s="129" t="s">
        <v>113</v>
      </c>
      <c r="D861" s="89">
        <v>1</v>
      </c>
      <c r="E861" s="90"/>
      <c r="F861" s="91"/>
      <c r="G861" s="127">
        <f t="shared" si="109"/>
        <v>0</v>
      </c>
    </row>
    <row r="862" spans="1:7" x14ac:dyDescent="0.2">
      <c r="A862" s="347"/>
      <c r="B862" s="348"/>
      <c r="C862" s="349"/>
      <c r="D862" s="337"/>
      <c r="E862" s="350"/>
      <c r="F862" s="351"/>
      <c r="G862" s="127"/>
    </row>
    <row r="863" spans="1:7" x14ac:dyDescent="0.2">
      <c r="A863" s="347"/>
      <c r="B863" s="348"/>
      <c r="C863" s="349"/>
      <c r="D863" s="337"/>
      <c r="E863" s="350"/>
      <c r="F863" s="351"/>
      <c r="G863" s="127"/>
    </row>
    <row r="864" spans="1:7" x14ac:dyDescent="0.2">
      <c r="A864" s="347"/>
      <c r="B864" s="348"/>
      <c r="C864" s="349"/>
      <c r="D864" s="337"/>
      <c r="E864" s="350"/>
      <c r="F864" s="351"/>
      <c r="G864" s="127"/>
    </row>
    <row r="865" spans="1:7" x14ac:dyDescent="0.2">
      <c r="A865" s="347"/>
      <c r="B865" s="348"/>
      <c r="C865" s="349"/>
      <c r="D865" s="337"/>
      <c r="E865" s="350"/>
      <c r="F865" s="351"/>
      <c r="G865" s="127"/>
    </row>
    <row r="866" spans="1:7" x14ac:dyDescent="0.2">
      <c r="A866" s="347"/>
      <c r="B866" s="348"/>
      <c r="C866" s="349"/>
      <c r="D866" s="337"/>
      <c r="E866" s="350"/>
      <c r="F866" s="351"/>
      <c r="G866" s="127"/>
    </row>
    <row r="867" spans="1:7" x14ac:dyDescent="0.2">
      <c r="A867" s="347"/>
      <c r="B867" s="348"/>
      <c r="C867" s="349"/>
      <c r="D867" s="337"/>
      <c r="E867" s="350"/>
      <c r="F867" s="351"/>
      <c r="G867" s="127"/>
    </row>
    <row r="868" spans="1:7" x14ac:dyDescent="0.2">
      <c r="A868" s="347"/>
      <c r="B868" s="348"/>
      <c r="C868" s="349"/>
      <c r="D868" s="337"/>
      <c r="E868" s="350"/>
      <c r="F868" s="351"/>
      <c r="G868" s="127"/>
    </row>
    <row r="869" spans="1:7" x14ac:dyDescent="0.2">
      <c r="A869" s="347"/>
      <c r="B869" s="348"/>
      <c r="C869" s="349"/>
      <c r="D869" s="337"/>
      <c r="E869" s="350"/>
      <c r="F869" s="351"/>
      <c r="G869" s="127"/>
    </row>
    <row r="870" spans="1:7" x14ac:dyDescent="0.2">
      <c r="A870" s="347"/>
      <c r="B870" s="348"/>
      <c r="C870" s="349"/>
      <c r="D870" s="337"/>
      <c r="E870" s="350"/>
      <c r="F870" s="351"/>
      <c r="G870" s="127"/>
    </row>
    <row r="871" spans="1:7" x14ac:dyDescent="0.2">
      <c r="A871" s="347"/>
      <c r="B871" s="348"/>
      <c r="C871" s="349"/>
      <c r="D871" s="337"/>
      <c r="E871" s="350"/>
      <c r="F871" s="351"/>
      <c r="G871" s="127"/>
    </row>
    <row r="872" spans="1:7" x14ac:dyDescent="0.2">
      <c r="A872" s="347"/>
      <c r="B872" s="348"/>
      <c r="C872" s="349"/>
      <c r="D872" s="337"/>
      <c r="E872" s="350"/>
      <c r="F872" s="351"/>
      <c r="G872" s="127"/>
    </row>
    <row r="873" spans="1:7" x14ac:dyDescent="0.2">
      <c r="A873" s="347"/>
      <c r="B873" s="348"/>
      <c r="C873" s="349"/>
      <c r="D873" s="337"/>
      <c r="E873" s="350"/>
      <c r="F873" s="351"/>
      <c r="G873" s="127"/>
    </row>
    <row r="874" spans="1:7" x14ac:dyDescent="0.2">
      <c r="A874" s="347"/>
      <c r="B874" s="348"/>
      <c r="C874" s="349"/>
      <c r="D874" s="337"/>
      <c r="E874" s="350"/>
      <c r="F874" s="351"/>
      <c r="G874" s="127"/>
    </row>
    <row r="875" spans="1:7" x14ac:dyDescent="0.2">
      <c r="A875" s="347"/>
      <c r="B875" s="348"/>
      <c r="C875" s="349"/>
      <c r="D875" s="337"/>
      <c r="E875" s="350"/>
      <c r="F875" s="351"/>
      <c r="G875" s="127"/>
    </row>
    <row r="876" spans="1:7" ht="12.75" thickBot="1" x14ac:dyDescent="0.25">
      <c r="A876" s="347"/>
      <c r="B876" s="348"/>
      <c r="C876" s="349"/>
      <c r="D876" s="337"/>
      <c r="E876" s="350"/>
      <c r="F876" s="351"/>
      <c r="G876" s="127"/>
    </row>
    <row r="877" spans="1:7" x14ac:dyDescent="0.2">
      <c r="A877" s="420"/>
      <c r="B877" s="147" t="s">
        <v>401</v>
      </c>
      <c r="C877" s="417"/>
      <c r="D877" s="151"/>
      <c r="E877" s="419"/>
      <c r="F877" s="151"/>
      <c r="G877" s="386"/>
    </row>
    <row r="878" spans="1:7" ht="12.75" thickBot="1" x14ac:dyDescent="0.25">
      <c r="A878" s="355"/>
      <c r="B878" s="356" t="s">
        <v>402</v>
      </c>
      <c r="C878" s="357"/>
      <c r="D878" s="358"/>
      <c r="E878" s="359"/>
      <c r="F878" s="358"/>
      <c r="G878" s="360">
        <f>SUM(G836:G877)</f>
        <v>0</v>
      </c>
    </row>
    <row r="879" spans="1:7" x14ac:dyDescent="0.2">
      <c r="A879" s="330"/>
      <c r="B879" s="179"/>
      <c r="C879" s="96"/>
      <c r="D879" s="91"/>
      <c r="E879" s="185"/>
      <c r="F879" s="91"/>
      <c r="G879" s="233"/>
    </row>
    <row r="880" spans="1:7" x14ac:dyDescent="0.2">
      <c r="A880" s="330"/>
      <c r="B880" s="99" t="s">
        <v>418</v>
      </c>
      <c r="C880" s="100"/>
      <c r="D880" s="89"/>
      <c r="E880" s="90"/>
      <c r="F880" s="91"/>
      <c r="G880" s="92"/>
    </row>
    <row r="881" spans="1:7" x14ac:dyDescent="0.2">
      <c r="A881" s="330"/>
      <c r="B881" s="102" t="s">
        <v>415</v>
      </c>
      <c r="C881" s="100"/>
      <c r="D881" s="89"/>
      <c r="E881" s="90"/>
      <c r="F881" s="91"/>
      <c r="G881" s="92"/>
    </row>
    <row r="882" spans="1:7" x14ac:dyDescent="0.2">
      <c r="A882" s="331">
        <v>13.1</v>
      </c>
      <c r="B882" s="309" t="s">
        <v>41</v>
      </c>
      <c r="C882" s="332"/>
      <c r="D882" s="333"/>
      <c r="E882" s="209"/>
      <c r="F882" s="284"/>
      <c r="G882" s="285"/>
    </row>
    <row r="883" spans="1:7" x14ac:dyDescent="0.2">
      <c r="A883" s="352"/>
      <c r="B883" s="309" t="s">
        <v>417</v>
      </c>
      <c r="C883" s="332"/>
      <c r="D883" s="333"/>
      <c r="E883" s="209"/>
      <c r="F883" s="284"/>
      <c r="G883" s="285"/>
    </row>
    <row r="884" spans="1:7" x14ac:dyDescent="0.2">
      <c r="A884" s="330"/>
      <c r="B884" s="128"/>
      <c r="C884" s="129"/>
      <c r="D884" s="89"/>
      <c r="E884" s="90"/>
      <c r="F884" s="91"/>
      <c r="G884" s="92"/>
    </row>
    <row r="885" spans="1:7" x14ac:dyDescent="0.2">
      <c r="A885" s="330"/>
      <c r="B885" s="128"/>
      <c r="C885" s="129"/>
      <c r="D885" s="89"/>
      <c r="E885" s="90"/>
      <c r="F885" s="91"/>
      <c r="G885" s="92"/>
    </row>
    <row r="886" spans="1:7" x14ac:dyDescent="0.2">
      <c r="A886" s="330"/>
      <c r="B886" s="128"/>
      <c r="C886" s="129"/>
      <c r="D886" s="89"/>
      <c r="E886" s="90"/>
      <c r="F886" s="91"/>
      <c r="G886" s="92"/>
    </row>
    <row r="887" spans="1:7" x14ac:dyDescent="0.2">
      <c r="A887" s="330"/>
      <c r="B887" s="128"/>
      <c r="C887" s="129"/>
      <c r="D887" s="89"/>
      <c r="E887" s="90"/>
      <c r="F887" s="91"/>
      <c r="G887" s="92"/>
    </row>
    <row r="888" spans="1:7" x14ac:dyDescent="0.2">
      <c r="A888" s="330"/>
      <c r="B888" s="128"/>
      <c r="C888" s="129"/>
      <c r="D888" s="89"/>
      <c r="E888" s="90"/>
      <c r="F888" s="91"/>
      <c r="G888" s="92"/>
    </row>
    <row r="889" spans="1:7" x14ac:dyDescent="0.2">
      <c r="A889" s="330"/>
      <c r="B889" s="128"/>
      <c r="C889" s="129"/>
      <c r="D889" s="89"/>
      <c r="E889" s="90"/>
      <c r="F889" s="91"/>
      <c r="G889" s="92"/>
    </row>
    <row r="890" spans="1:7" x14ac:dyDescent="0.2">
      <c r="A890" s="330"/>
      <c r="B890" s="128"/>
      <c r="C890" s="129"/>
      <c r="D890" s="89"/>
      <c r="E890" s="90"/>
      <c r="F890" s="91"/>
      <c r="G890" s="92"/>
    </row>
    <row r="891" spans="1:7" x14ac:dyDescent="0.2">
      <c r="A891" s="330"/>
      <c r="B891" s="128"/>
      <c r="C891" s="129"/>
      <c r="D891" s="89"/>
      <c r="E891" s="90"/>
      <c r="F891" s="91"/>
      <c r="G891" s="92"/>
    </row>
    <row r="892" spans="1:7" x14ac:dyDescent="0.2">
      <c r="A892" s="330"/>
      <c r="B892" s="128"/>
      <c r="C892" s="129"/>
      <c r="D892" s="89"/>
      <c r="E892" s="90"/>
      <c r="F892" s="91"/>
      <c r="G892" s="92"/>
    </row>
    <row r="893" spans="1:7" x14ac:dyDescent="0.2">
      <c r="A893" s="330"/>
      <c r="B893" s="128"/>
      <c r="C893" s="129"/>
      <c r="D893" s="89"/>
      <c r="E893" s="90"/>
      <c r="F893" s="91"/>
      <c r="G893" s="92"/>
    </row>
    <row r="894" spans="1:7" x14ac:dyDescent="0.2">
      <c r="A894" s="330"/>
      <c r="B894" s="128"/>
      <c r="C894" s="129"/>
      <c r="D894" s="89"/>
      <c r="E894" s="90"/>
      <c r="F894" s="91"/>
      <c r="G894" s="92"/>
    </row>
    <row r="895" spans="1:7" x14ac:dyDescent="0.2">
      <c r="A895" s="330"/>
      <c r="B895" s="128"/>
      <c r="C895" s="129"/>
      <c r="D895" s="89"/>
      <c r="E895" s="90"/>
      <c r="F895" s="91"/>
      <c r="G895" s="92"/>
    </row>
    <row r="896" spans="1:7" x14ac:dyDescent="0.2">
      <c r="A896" s="330"/>
      <c r="B896" s="128"/>
      <c r="C896" s="129"/>
      <c r="D896" s="89"/>
      <c r="E896" s="90"/>
      <c r="F896" s="91"/>
      <c r="G896" s="92"/>
    </row>
    <row r="897" spans="1:7" x14ac:dyDescent="0.2">
      <c r="A897" s="330"/>
      <c r="B897" s="128"/>
      <c r="C897" s="129"/>
      <c r="D897" s="89"/>
      <c r="E897" s="90"/>
      <c r="F897" s="91"/>
      <c r="G897" s="92"/>
    </row>
    <row r="898" spans="1:7" x14ac:dyDescent="0.2">
      <c r="A898" s="330"/>
      <c r="B898" s="128"/>
      <c r="C898" s="129"/>
      <c r="D898" s="89"/>
      <c r="E898" s="90"/>
      <c r="F898" s="91"/>
      <c r="G898" s="92"/>
    </row>
    <row r="899" spans="1:7" x14ac:dyDescent="0.2">
      <c r="A899" s="330"/>
      <c r="B899" s="128"/>
      <c r="C899" s="129"/>
      <c r="D899" s="89"/>
      <c r="E899" s="90"/>
      <c r="F899" s="91"/>
      <c r="G899" s="92"/>
    </row>
    <row r="900" spans="1:7" x14ac:dyDescent="0.2">
      <c r="A900" s="330"/>
      <c r="B900" s="128"/>
      <c r="C900" s="129"/>
      <c r="D900" s="89"/>
      <c r="E900" s="90"/>
      <c r="F900" s="91"/>
      <c r="G900" s="92"/>
    </row>
    <row r="901" spans="1:7" x14ac:dyDescent="0.2">
      <c r="A901" s="330"/>
      <c r="B901" s="128"/>
      <c r="C901" s="129"/>
      <c r="D901" s="89"/>
      <c r="E901" s="90"/>
      <c r="F901" s="91"/>
      <c r="G901" s="92"/>
    </row>
    <row r="902" spans="1:7" x14ac:dyDescent="0.2">
      <c r="A902" s="330"/>
      <c r="B902" s="128"/>
      <c r="C902" s="129"/>
      <c r="D902" s="89"/>
      <c r="E902" s="90"/>
      <c r="F902" s="91"/>
      <c r="G902" s="92"/>
    </row>
    <row r="903" spans="1:7" x14ac:dyDescent="0.2">
      <c r="A903" s="330"/>
      <c r="B903" s="128"/>
      <c r="C903" s="129"/>
      <c r="D903" s="89"/>
      <c r="E903" s="90"/>
      <c r="F903" s="91"/>
      <c r="G903" s="92"/>
    </row>
    <row r="904" spans="1:7" x14ac:dyDescent="0.2">
      <c r="A904" s="330"/>
      <c r="B904" s="128"/>
      <c r="C904" s="129"/>
      <c r="D904" s="89"/>
      <c r="E904" s="90"/>
      <c r="F904" s="91"/>
      <c r="G904" s="92"/>
    </row>
    <row r="905" spans="1:7" x14ac:dyDescent="0.2">
      <c r="A905" s="330"/>
      <c r="B905" s="128"/>
      <c r="C905" s="129"/>
      <c r="D905" s="89"/>
      <c r="E905" s="90"/>
      <c r="F905" s="91"/>
      <c r="G905" s="92"/>
    </row>
    <row r="906" spans="1:7" x14ac:dyDescent="0.2">
      <c r="A906" s="330"/>
      <c r="B906" s="128"/>
      <c r="C906" s="129"/>
      <c r="D906" s="89"/>
      <c r="E906" s="90"/>
      <c r="F906" s="91"/>
      <c r="G906" s="92"/>
    </row>
    <row r="907" spans="1:7" x14ac:dyDescent="0.2">
      <c r="A907" s="330"/>
      <c r="B907" s="128"/>
      <c r="C907" s="129"/>
      <c r="D907" s="89"/>
      <c r="E907" s="90"/>
      <c r="F907" s="91"/>
      <c r="G907" s="92"/>
    </row>
    <row r="908" spans="1:7" x14ac:dyDescent="0.2">
      <c r="A908" s="330"/>
      <c r="B908" s="128"/>
      <c r="C908" s="129"/>
      <c r="D908" s="89"/>
      <c r="E908" s="90"/>
      <c r="F908" s="91"/>
      <c r="G908" s="92"/>
    </row>
    <row r="909" spans="1:7" x14ac:dyDescent="0.2">
      <c r="A909" s="330"/>
      <c r="B909" s="128"/>
      <c r="C909" s="129"/>
      <c r="D909" s="89"/>
      <c r="E909" s="90"/>
      <c r="F909" s="91"/>
      <c r="G909" s="92"/>
    </row>
    <row r="910" spans="1:7" x14ac:dyDescent="0.2">
      <c r="A910" s="330"/>
      <c r="B910" s="128"/>
      <c r="C910" s="129"/>
      <c r="D910" s="89"/>
      <c r="E910" s="90"/>
      <c r="F910" s="91"/>
      <c r="G910" s="92"/>
    </row>
    <row r="911" spans="1:7" x14ac:dyDescent="0.2">
      <c r="A911" s="330"/>
      <c r="B911" s="128"/>
      <c r="C911" s="129"/>
      <c r="D911" s="89"/>
      <c r="E911" s="90"/>
      <c r="F911" s="91"/>
      <c r="G911" s="92"/>
    </row>
    <row r="912" spans="1:7" x14ac:dyDescent="0.2">
      <c r="A912" s="330"/>
      <c r="B912" s="128"/>
      <c r="C912" s="129"/>
      <c r="D912" s="89"/>
      <c r="E912" s="90"/>
      <c r="F912" s="91"/>
      <c r="G912" s="92"/>
    </row>
    <row r="913" spans="1:7" x14ac:dyDescent="0.2">
      <c r="A913" s="330"/>
      <c r="B913" s="128"/>
      <c r="C913" s="129"/>
      <c r="D913" s="89"/>
      <c r="E913" s="90"/>
      <c r="F913" s="91"/>
      <c r="G913" s="92"/>
    </row>
    <row r="914" spans="1:7" x14ac:dyDescent="0.2">
      <c r="A914" s="330"/>
      <c r="B914" s="128"/>
      <c r="C914" s="129"/>
      <c r="D914" s="89"/>
      <c r="E914" s="90"/>
      <c r="F914" s="91"/>
      <c r="G914" s="92"/>
    </row>
    <row r="915" spans="1:7" x14ac:dyDescent="0.2">
      <c r="A915" s="330"/>
      <c r="B915" s="128"/>
      <c r="C915" s="129"/>
      <c r="D915" s="89"/>
      <c r="E915" s="90"/>
      <c r="F915" s="91"/>
      <c r="G915" s="92"/>
    </row>
    <row r="916" spans="1:7" x14ac:dyDescent="0.2">
      <c r="A916" s="330"/>
      <c r="B916" s="128"/>
      <c r="C916" s="129"/>
      <c r="D916" s="89"/>
      <c r="E916" s="90"/>
      <c r="F916" s="91"/>
      <c r="G916" s="92"/>
    </row>
    <row r="917" spans="1:7" x14ac:dyDescent="0.2">
      <c r="A917" s="330"/>
      <c r="B917" s="128"/>
      <c r="C917" s="129"/>
      <c r="D917" s="89"/>
      <c r="E917" s="90"/>
      <c r="F917" s="91"/>
      <c r="G917" s="92"/>
    </row>
    <row r="918" spans="1:7" x14ac:dyDescent="0.2">
      <c r="A918" s="330"/>
      <c r="B918" s="128"/>
      <c r="C918" s="129"/>
      <c r="D918" s="89"/>
      <c r="E918" s="90"/>
      <c r="F918" s="91"/>
      <c r="G918" s="92"/>
    </row>
    <row r="919" spans="1:7" x14ac:dyDescent="0.2">
      <c r="A919" s="330"/>
      <c r="B919" s="128"/>
      <c r="C919" s="129"/>
      <c r="D919" s="89"/>
      <c r="E919" s="90"/>
      <c r="F919" s="91"/>
      <c r="G919" s="92"/>
    </row>
    <row r="920" spans="1:7" x14ac:dyDescent="0.2">
      <c r="A920" s="330"/>
      <c r="B920" s="128"/>
      <c r="C920" s="129"/>
      <c r="D920" s="89"/>
      <c r="E920" s="90"/>
      <c r="F920" s="91"/>
      <c r="G920" s="92"/>
    </row>
    <row r="921" spans="1:7" x14ac:dyDescent="0.2">
      <c r="A921" s="330"/>
      <c r="B921" s="128"/>
      <c r="C921" s="129"/>
      <c r="D921" s="89"/>
      <c r="E921" s="90"/>
      <c r="F921" s="91"/>
      <c r="G921" s="92"/>
    </row>
    <row r="922" spans="1:7" x14ac:dyDescent="0.2">
      <c r="A922" s="330"/>
      <c r="B922" s="128"/>
      <c r="C922" s="129"/>
      <c r="D922" s="89"/>
      <c r="E922" s="90"/>
      <c r="F922" s="91"/>
      <c r="G922" s="92"/>
    </row>
    <row r="923" spans="1:7" x14ac:dyDescent="0.2">
      <c r="A923" s="330"/>
      <c r="B923" s="128"/>
      <c r="C923" s="129"/>
      <c r="D923" s="89"/>
      <c r="E923" s="90"/>
      <c r="F923" s="91"/>
      <c r="G923" s="92"/>
    </row>
    <row r="924" spans="1:7" x14ac:dyDescent="0.2">
      <c r="A924" s="330"/>
      <c r="B924" s="128"/>
      <c r="C924" s="129"/>
      <c r="D924" s="89"/>
      <c r="E924" s="90"/>
      <c r="F924" s="91"/>
      <c r="G924" s="92"/>
    </row>
    <row r="925" spans="1:7" x14ac:dyDescent="0.2">
      <c r="A925" s="330"/>
      <c r="B925" s="128"/>
      <c r="C925" s="129"/>
      <c r="D925" s="89"/>
      <c r="E925" s="90"/>
      <c r="F925" s="91"/>
      <c r="G925" s="92"/>
    </row>
    <row r="926" spans="1:7" x14ac:dyDescent="0.2">
      <c r="A926" s="330"/>
      <c r="B926" s="128"/>
      <c r="C926" s="129"/>
      <c r="D926" s="89"/>
      <c r="E926" s="90"/>
      <c r="F926" s="91"/>
      <c r="G926" s="92"/>
    </row>
    <row r="927" spans="1:7" x14ac:dyDescent="0.2">
      <c r="A927" s="330"/>
      <c r="B927" s="128"/>
      <c r="C927" s="129"/>
      <c r="D927" s="89"/>
      <c r="E927" s="90"/>
      <c r="F927" s="91"/>
      <c r="G927" s="92"/>
    </row>
    <row r="928" spans="1:7" x14ac:dyDescent="0.2">
      <c r="A928" s="330"/>
      <c r="B928" s="128"/>
      <c r="C928" s="129"/>
      <c r="D928" s="89"/>
      <c r="E928" s="90"/>
      <c r="F928" s="91"/>
      <c r="G928" s="92"/>
    </row>
    <row r="929" spans="1:7" x14ac:dyDescent="0.2">
      <c r="A929" s="330"/>
      <c r="B929" s="128"/>
      <c r="C929" s="129"/>
      <c r="D929" s="89"/>
      <c r="E929" s="90"/>
      <c r="F929" s="91"/>
      <c r="G929" s="92"/>
    </row>
    <row r="930" spans="1:7" x14ac:dyDescent="0.2">
      <c r="A930" s="330"/>
      <c r="B930" s="128"/>
      <c r="C930" s="129"/>
      <c r="D930" s="89"/>
      <c r="E930" s="90"/>
      <c r="F930" s="91"/>
      <c r="G930" s="92"/>
    </row>
    <row r="931" spans="1:7" x14ac:dyDescent="0.2">
      <c r="A931" s="330"/>
      <c r="B931" s="128"/>
      <c r="C931" s="129"/>
      <c r="D931" s="89"/>
      <c r="E931" s="90"/>
      <c r="F931" s="91"/>
      <c r="G931" s="92"/>
    </row>
    <row r="932" spans="1:7" x14ac:dyDescent="0.2">
      <c r="A932" s="330"/>
      <c r="B932" s="128"/>
      <c r="C932" s="129"/>
      <c r="D932" s="89"/>
      <c r="E932" s="90"/>
      <c r="F932" s="91"/>
      <c r="G932" s="92"/>
    </row>
    <row r="933" spans="1:7" x14ac:dyDescent="0.2">
      <c r="A933" s="330"/>
      <c r="B933" s="128"/>
      <c r="C933" s="129"/>
      <c r="D933" s="89"/>
      <c r="E933" s="90"/>
      <c r="F933" s="91"/>
      <c r="G933" s="92"/>
    </row>
    <row r="934" spans="1:7" x14ac:dyDescent="0.2">
      <c r="A934" s="330"/>
      <c r="B934" s="128"/>
      <c r="C934" s="129"/>
      <c r="D934" s="89"/>
      <c r="E934" s="90"/>
      <c r="F934" s="91"/>
      <c r="G934" s="92"/>
    </row>
    <row r="935" spans="1:7" ht="12.75" thickBot="1" x14ac:dyDescent="0.25">
      <c r="A935" s="330"/>
      <c r="B935" s="128"/>
      <c r="C935" s="129"/>
      <c r="D935" s="89"/>
      <c r="E935" s="90"/>
      <c r="F935" s="91"/>
      <c r="G935" s="92"/>
    </row>
    <row r="936" spans="1:7" x14ac:dyDescent="0.2">
      <c r="A936" s="420"/>
      <c r="B936" s="147" t="s">
        <v>420</v>
      </c>
      <c r="C936" s="417"/>
      <c r="D936" s="151"/>
      <c r="E936" s="419"/>
      <c r="F936" s="151"/>
      <c r="G936" s="386"/>
    </row>
    <row r="937" spans="1:7" ht="12.75" thickBot="1" x14ac:dyDescent="0.25">
      <c r="A937" s="355"/>
      <c r="B937" s="356" t="s">
        <v>419</v>
      </c>
      <c r="C937" s="357"/>
      <c r="D937" s="358"/>
      <c r="E937" s="359"/>
      <c r="F937" s="358"/>
      <c r="G937" s="360">
        <f>SUM(G884:G936)</f>
        <v>0</v>
      </c>
    </row>
    <row r="938" spans="1:7" x14ac:dyDescent="0.2">
      <c r="A938" s="330"/>
      <c r="B938" s="179"/>
      <c r="C938" s="96"/>
      <c r="D938" s="91"/>
      <c r="E938" s="185"/>
      <c r="F938" s="91"/>
      <c r="G938" s="233"/>
    </row>
    <row r="939" spans="1:7" x14ac:dyDescent="0.2">
      <c r="A939" s="330"/>
      <c r="B939" s="99" t="s">
        <v>421</v>
      </c>
      <c r="C939" s="100"/>
      <c r="D939" s="89"/>
      <c r="E939" s="90"/>
      <c r="F939" s="91"/>
      <c r="G939" s="92"/>
    </row>
    <row r="940" spans="1:7" x14ac:dyDescent="0.2">
      <c r="A940" s="330"/>
      <c r="B940" s="102" t="s">
        <v>416</v>
      </c>
      <c r="C940" s="100"/>
      <c r="D940" s="89"/>
      <c r="E940" s="90"/>
      <c r="F940" s="91"/>
      <c r="G940" s="92"/>
    </row>
    <row r="941" spans="1:7" x14ac:dyDescent="0.2">
      <c r="A941" s="331">
        <v>14.1</v>
      </c>
      <c r="B941" s="309" t="s">
        <v>41</v>
      </c>
      <c r="C941" s="332"/>
      <c r="D941" s="333"/>
      <c r="E941" s="209"/>
      <c r="F941" s="284"/>
      <c r="G941" s="285"/>
    </row>
    <row r="942" spans="1:7" x14ac:dyDescent="0.2">
      <c r="A942" s="353"/>
      <c r="B942" s="354" t="s">
        <v>446</v>
      </c>
      <c r="C942" s="88"/>
      <c r="D942" s="89"/>
      <c r="E942" s="118"/>
      <c r="F942" s="74"/>
      <c r="G942" s="75"/>
    </row>
    <row r="943" spans="1:7" x14ac:dyDescent="0.2">
      <c r="A943" s="330"/>
      <c r="B943" s="128"/>
      <c r="C943" s="129"/>
      <c r="D943" s="89"/>
      <c r="E943" s="90"/>
      <c r="F943" s="91"/>
      <c r="G943" s="92"/>
    </row>
    <row r="944" spans="1:7" x14ac:dyDescent="0.2">
      <c r="A944" s="330"/>
      <c r="B944" s="128"/>
      <c r="C944" s="129"/>
      <c r="D944" s="89"/>
      <c r="E944" s="90"/>
      <c r="F944" s="91"/>
      <c r="G944" s="92"/>
    </row>
    <row r="945" spans="1:7" x14ac:dyDescent="0.2">
      <c r="A945" s="330"/>
      <c r="B945" s="128"/>
      <c r="C945" s="129"/>
      <c r="D945" s="89"/>
      <c r="E945" s="90"/>
      <c r="F945" s="91"/>
      <c r="G945" s="92"/>
    </row>
    <row r="946" spans="1:7" x14ac:dyDescent="0.2">
      <c r="A946" s="330"/>
      <c r="B946" s="128"/>
      <c r="C946" s="129"/>
      <c r="D946" s="89"/>
      <c r="E946" s="90"/>
      <c r="F946" s="91"/>
      <c r="G946" s="92"/>
    </row>
    <row r="947" spans="1:7" x14ac:dyDescent="0.2">
      <c r="A947" s="330"/>
      <c r="B947" s="128"/>
      <c r="C947" s="129"/>
      <c r="D947" s="89"/>
      <c r="E947" s="90"/>
      <c r="F947" s="91"/>
      <c r="G947" s="92"/>
    </row>
    <row r="948" spans="1:7" x14ac:dyDescent="0.2">
      <c r="A948" s="330"/>
      <c r="B948" s="128"/>
      <c r="C948" s="129"/>
      <c r="D948" s="89"/>
      <c r="E948" s="90"/>
      <c r="F948" s="91"/>
      <c r="G948" s="92"/>
    </row>
    <row r="949" spans="1:7" x14ac:dyDescent="0.2">
      <c r="A949" s="330"/>
      <c r="B949" s="128"/>
      <c r="C949" s="129"/>
      <c r="D949" s="89"/>
      <c r="E949" s="90"/>
      <c r="F949" s="91"/>
      <c r="G949" s="92"/>
    </row>
    <row r="950" spans="1:7" x14ac:dyDescent="0.2">
      <c r="A950" s="330"/>
      <c r="B950" s="128"/>
      <c r="C950" s="129"/>
      <c r="D950" s="89"/>
      <c r="E950" s="90"/>
      <c r="F950" s="91"/>
      <c r="G950" s="92"/>
    </row>
    <row r="951" spans="1:7" x14ac:dyDescent="0.2">
      <c r="A951" s="330"/>
      <c r="B951" s="128"/>
      <c r="C951" s="129"/>
      <c r="D951" s="89"/>
      <c r="E951" s="90"/>
      <c r="F951" s="91"/>
      <c r="G951" s="92"/>
    </row>
    <row r="952" spans="1:7" x14ac:dyDescent="0.2">
      <c r="A952" s="330"/>
      <c r="B952" s="128"/>
      <c r="C952" s="129"/>
      <c r="D952" s="89"/>
      <c r="E952" s="90"/>
      <c r="F952" s="91"/>
      <c r="G952" s="92"/>
    </row>
    <row r="953" spans="1:7" x14ac:dyDescent="0.2">
      <c r="A953" s="330"/>
      <c r="B953" s="128"/>
      <c r="C953" s="129"/>
      <c r="D953" s="89"/>
      <c r="E953" s="90"/>
      <c r="F953" s="91"/>
      <c r="G953" s="92"/>
    </row>
    <row r="954" spans="1:7" x14ac:dyDescent="0.2">
      <c r="A954" s="330"/>
      <c r="B954" s="128"/>
      <c r="C954" s="129"/>
      <c r="D954" s="89"/>
      <c r="E954" s="90"/>
      <c r="F954" s="91"/>
      <c r="G954" s="92"/>
    </row>
    <row r="955" spans="1:7" x14ac:dyDescent="0.2">
      <c r="A955" s="330"/>
      <c r="B955" s="128"/>
      <c r="C955" s="129"/>
      <c r="D955" s="89"/>
      <c r="E955" s="90"/>
      <c r="F955" s="91"/>
      <c r="G955" s="92"/>
    </row>
    <row r="956" spans="1:7" x14ac:dyDescent="0.2">
      <c r="A956" s="330"/>
      <c r="B956" s="128"/>
      <c r="C956" s="129"/>
      <c r="D956" s="89"/>
      <c r="E956" s="90"/>
      <c r="F956" s="91"/>
      <c r="G956" s="92"/>
    </row>
    <row r="957" spans="1:7" x14ac:dyDescent="0.2">
      <c r="A957" s="330"/>
      <c r="B957" s="128"/>
      <c r="C957" s="129"/>
      <c r="D957" s="89"/>
      <c r="E957" s="90"/>
      <c r="F957" s="91"/>
      <c r="G957" s="92"/>
    </row>
    <row r="958" spans="1:7" x14ac:dyDescent="0.2">
      <c r="A958" s="330"/>
      <c r="B958" s="128"/>
      <c r="C958" s="129"/>
      <c r="D958" s="89"/>
      <c r="E958" s="90"/>
      <c r="F958" s="91"/>
      <c r="G958" s="92"/>
    </row>
    <row r="959" spans="1:7" x14ac:dyDescent="0.2">
      <c r="A959" s="330"/>
      <c r="B959" s="128"/>
      <c r="C959" s="129"/>
      <c r="D959" s="89"/>
      <c r="E959" s="90"/>
      <c r="F959" s="91"/>
      <c r="G959" s="92"/>
    </row>
    <row r="960" spans="1:7" x14ac:dyDescent="0.2">
      <c r="A960" s="330"/>
      <c r="B960" s="128"/>
      <c r="C960" s="129"/>
      <c r="D960" s="89"/>
      <c r="E960" s="90"/>
      <c r="F960" s="91"/>
      <c r="G960" s="92"/>
    </row>
    <row r="961" spans="1:7" x14ac:dyDescent="0.2">
      <c r="A961" s="330"/>
      <c r="B961" s="128"/>
      <c r="C961" s="129"/>
      <c r="D961" s="89"/>
      <c r="E961" s="90"/>
      <c r="F961" s="91"/>
      <c r="G961" s="92"/>
    </row>
    <row r="962" spans="1:7" x14ac:dyDescent="0.2">
      <c r="A962" s="330"/>
      <c r="B962" s="128"/>
      <c r="C962" s="129"/>
      <c r="D962" s="89"/>
      <c r="E962" s="90"/>
      <c r="F962" s="91"/>
      <c r="G962" s="92"/>
    </row>
    <row r="963" spans="1:7" x14ac:dyDescent="0.2">
      <c r="A963" s="330"/>
      <c r="B963" s="128"/>
      <c r="C963" s="129"/>
      <c r="D963" s="89"/>
      <c r="E963" s="90"/>
      <c r="F963" s="91"/>
      <c r="G963" s="92"/>
    </row>
    <row r="964" spans="1:7" x14ac:dyDescent="0.2">
      <c r="A964" s="330"/>
      <c r="B964" s="128"/>
      <c r="C964" s="129"/>
      <c r="D964" s="89"/>
      <c r="E964" s="90"/>
      <c r="F964" s="91"/>
      <c r="G964" s="92"/>
    </row>
    <row r="965" spans="1:7" x14ac:dyDescent="0.2">
      <c r="A965" s="330"/>
      <c r="B965" s="128"/>
      <c r="C965" s="129"/>
      <c r="D965" s="89"/>
      <c r="E965" s="90"/>
      <c r="F965" s="91"/>
      <c r="G965" s="92"/>
    </row>
    <row r="966" spans="1:7" x14ac:dyDescent="0.2">
      <c r="A966" s="330"/>
      <c r="B966" s="128"/>
      <c r="C966" s="129"/>
      <c r="D966" s="89"/>
      <c r="E966" s="90"/>
      <c r="F966" s="91"/>
      <c r="G966" s="92"/>
    </row>
    <row r="967" spans="1:7" x14ac:dyDescent="0.2">
      <c r="A967" s="330"/>
      <c r="B967" s="128"/>
      <c r="C967" s="129"/>
      <c r="D967" s="89"/>
      <c r="E967" s="90"/>
      <c r="F967" s="91"/>
      <c r="G967" s="92"/>
    </row>
    <row r="968" spans="1:7" x14ac:dyDescent="0.2">
      <c r="A968" s="330"/>
      <c r="B968" s="128"/>
      <c r="C968" s="129"/>
      <c r="D968" s="89"/>
      <c r="E968" s="90"/>
      <c r="F968" s="91"/>
      <c r="G968" s="92"/>
    </row>
    <row r="969" spans="1:7" x14ac:dyDescent="0.2">
      <c r="A969" s="330"/>
      <c r="B969" s="128"/>
      <c r="C969" s="129"/>
      <c r="D969" s="89"/>
      <c r="E969" s="90"/>
      <c r="F969" s="91"/>
      <c r="G969" s="92"/>
    </row>
    <row r="970" spans="1:7" x14ac:dyDescent="0.2">
      <c r="A970" s="330"/>
      <c r="B970" s="128"/>
      <c r="C970" s="129"/>
      <c r="D970" s="89"/>
      <c r="E970" s="90"/>
      <c r="F970" s="91"/>
      <c r="G970" s="92"/>
    </row>
    <row r="971" spans="1:7" x14ac:dyDescent="0.2">
      <c r="A971" s="330"/>
      <c r="B971" s="128"/>
      <c r="C971" s="129"/>
      <c r="D971" s="89"/>
      <c r="E971" s="90"/>
      <c r="F971" s="91"/>
      <c r="G971" s="92"/>
    </row>
    <row r="972" spans="1:7" x14ac:dyDescent="0.2">
      <c r="A972" s="330"/>
      <c r="B972" s="128"/>
      <c r="C972" s="129"/>
      <c r="D972" s="89"/>
      <c r="E972" s="90"/>
      <c r="F972" s="91"/>
      <c r="G972" s="92"/>
    </row>
    <row r="973" spans="1:7" x14ac:dyDescent="0.2">
      <c r="A973" s="330"/>
      <c r="B973" s="128"/>
      <c r="C973" s="129"/>
      <c r="D973" s="89"/>
      <c r="E973" s="90"/>
      <c r="F973" s="91"/>
      <c r="G973" s="92"/>
    </row>
    <row r="974" spans="1:7" x14ac:dyDescent="0.2">
      <c r="A974" s="330"/>
      <c r="B974" s="128"/>
      <c r="C974" s="129"/>
      <c r="D974" s="89"/>
      <c r="E974" s="90"/>
      <c r="F974" s="91"/>
      <c r="G974" s="92"/>
    </row>
    <row r="975" spans="1:7" x14ac:dyDescent="0.2">
      <c r="A975" s="330"/>
      <c r="B975" s="128"/>
      <c r="C975" s="129"/>
      <c r="D975" s="89"/>
      <c r="E975" s="90"/>
      <c r="F975" s="91"/>
      <c r="G975" s="92"/>
    </row>
    <row r="976" spans="1:7" x14ac:dyDescent="0.2">
      <c r="A976" s="330"/>
      <c r="B976" s="128"/>
      <c r="C976" s="129"/>
      <c r="D976" s="89"/>
      <c r="E976" s="90"/>
      <c r="F976" s="91"/>
      <c r="G976" s="92"/>
    </row>
    <row r="977" spans="1:7" x14ac:dyDescent="0.2">
      <c r="A977" s="330"/>
      <c r="B977" s="128"/>
      <c r="C977" s="129"/>
      <c r="D977" s="89"/>
      <c r="E977" s="90"/>
      <c r="F977" s="91"/>
      <c r="G977" s="92"/>
    </row>
    <row r="978" spans="1:7" x14ac:dyDescent="0.2">
      <c r="A978" s="330"/>
      <c r="B978" s="128"/>
      <c r="C978" s="129"/>
      <c r="D978" s="89"/>
      <c r="E978" s="90"/>
      <c r="F978" s="91"/>
      <c r="G978" s="92"/>
    </row>
    <row r="979" spans="1:7" x14ac:dyDescent="0.2">
      <c r="A979" s="330"/>
      <c r="B979" s="128"/>
      <c r="C979" s="129"/>
      <c r="D979" s="89"/>
      <c r="E979" s="90"/>
      <c r="F979" s="91"/>
      <c r="G979" s="92"/>
    </row>
    <row r="980" spans="1:7" x14ac:dyDescent="0.2">
      <c r="A980" s="330"/>
      <c r="B980" s="128"/>
      <c r="C980" s="129"/>
      <c r="D980" s="89"/>
      <c r="E980" s="90"/>
      <c r="F980" s="91"/>
      <c r="G980" s="92"/>
    </row>
    <row r="981" spans="1:7" x14ac:dyDescent="0.2">
      <c r="A981" s="330"/>
      <c r="B981" s="128"/>
      <c r="C981" s="129"/>
      <c r="D981" s="89"/>
      <c r="E981" s="90"/>
      <c r="F981" s="91"/>
      <c r="G981" s="92"/>
    </row>
    <row r="982" spans="1:7" x14ac:dyDescent="0.2">
      <c r="A982" s="330"/>
      <c r="B982" s="128"/>
      <c r="C982" s="129"/>
      <c r="D982" s="89"/>
      <c r="E982" s="90"/>
      <c r="F982" s="91"/>
      <c r="G982" s="92"/>
    </row>
    <row r="983" spans="1:7" x14ac:dyDescent="0.2">
      <c r="A983" s="330"/>
      <c r="B983" s="128"/>
      <c r="C983" s="129"/>
      <c r="D983" s="89"/>
      <c r="E983" s="90"/>
      <c r="F983" s="91"/>
      <c r="G983" s="92"/>
    </row>
    <row r="984" spans="1:7" x14ac:dyDescent="0.2">
      <c r="A984" s="330"/>
      <c r="B984" s="128"/>
      <c r="C984" s="129"/>
      <c r="D984" s="89"/>
      <c r="E984" s="90"/>
      <c r="F984" s="91"/>
      <c r="G984" s="92"/>
    </row>
    <row r="985" spans="1:7" x14ac:dyDescent="0.2">
      <c r="A985" s="330"/>
      <c r="B985" s="128"/>
      <c r="C985" s="129"/>
      <c r="D985" s="89"/>
      <c r="E985" s="90"/>
      <c r="F985" s="91"/>
      <c r="G985" s="92"/>
    </row>
    <row r="986" spans="1:7" x14ac:dyDescent="0.2">
      <c r="A986" s="330"/>
      <c r="B986" s="128"/>
      <c r="C986" s="129"/>
      <c r="D986" s="89"/>
      <c r="E986" s="90"/>
      <c r="F986" s="91"/>
      <c r="G986" s="92"/>
    </row>
    <row r="987" spans="1:7" x14ac:dyDescent="0.2">
      <c r="A987" s="330"/>
      <c r="B987" s="128"/>
      <c r="C987" s="129"/>
      <c r="D987" s="89"/>
      <c r="E987" s="90"/>
      <c r="F987" s="91"/>
      <c r="G987" s="92"/>
    </row>
    <row r="988" spans="1:7" x14ac:dyDescent="0.2">
      <c r="A988" s="330"/>
      <c r="B988" s="128"/>
      <c r="C988" s="129"/>
      <c r="D988" s="89"/>
      <c r="E988" s="90"/>
      <c r="F988" s="91"/>
      <c r="G988" s="92"/>
    </row>
    <row r="989" spans="1:7" x14ac:dyDescent="0.2">
      <c r="A989" s="330"/>
      <c r="B989" s="128"/>
      <c r="C989" s="129"/>
      <c r="D989" s="89"/>
      <c r="E989" s="90"/>
      <c r="F989" s="91"/>
      <c r="G989" s="92"/>
    </row>
    <row r="990" spans="1:7" x14ac:dyDescent="0.2">
      <c r="A990" s="330"/>
      <c r="B990" s="128"/>
      <c r="C990" s="129"/>
      <c r="D990" s="89"/>
      <c r="E990" s="90"/>
      <c r="F990" s="91"/>
      <c r="G990" s="92"/>
    </row>
    <row r="991" spans="1:7" x14ac:dyDescent="0.2">
      <c r="A991" s="330"/>
      <c r="B991" s="128"/>
      <c r="C991" s="129"/>
      <c r="D991" s="89"/>
      <c r="E991" s="90"/>
      <c r="F991" s="91"/>
      <c r="G991" s="92"/>
    </row>
    <row r="992" spans="1:7" x14ac:dyDescent="0.2">
      <c r="A992" s="330"/>
      <c r="B992" s="128"/>
      <c r="C992" s="129"/>
      <c r="D992" s="89"/>
      <c r="E992" s="90"/>
      <c r="F992" s="91"/>
      <c r="G992" s="92"/>
    </row>
    <row r="993" spans="1:7" x14ac:dyDescent="0.2">
      <c r="A993" s="330"/>
      <c r="B993" s="128"/>
      <c r="C993" s="129"/>
      <c r="D993" s="89"/>
      <c r="E993" s="90"/>
      <c r="F993" s="91"/>
      <c r="G993" s="92"/>
    </row>
    <row r="994" spans="1:7" ht="12.75" thickBot="1" x14ac:dyDescent="0.25">
      <c r="A994" s="330"/>
      <c r="B994" s="128"/>
      <c r="C994" s="129"/>
      <c r="D994" s="89"/>
      <c r="E994" s="90"/>
      <c r="F994" s="91"/>
      <c r="G994" s="92"/>
    </row>
    <row r="995" spans="1:7" x14ac:dyDescent="0.2">
      <c r="A995" s="420"/>
      <c r="B995" s="147" t="s">
        <v>422</v>
      </c>
      <c r="C995" s="417"/>
      <c r="D995" s="151"/>
      <c r="E995" s="419"/>
      <c r="F995" s="151"/>
      <c r="G995" s="386"/>
    </row>
    <row r="996" spans="1:7" ht="12.75" thickBot="1" x14ac:dyDescent="0.25">
      <c r="A996" s="355"/>
      <c r="B996" s="356" t="s">
        <v>423</v>
      </c>
      <c r="C996" s="357"/>
      <c r="D996" s="358"/>
      <c r="E996" s="359"/>
      <c r="F996" s="358"/>
      <c r="G996" s="360">
        <f>SUM(G942:G995)</f>
        <v>0</v>
      </c>
    </row>
  </sheetData>
  <mergeCells count="7">
    <mergeCell ref="B741:E741"/>
    <mergeCell ref="B742:E742"/>
    <mergeCell ref="A1:G1"/>
    <mergeCell ref="B504:G504"/>
    <mergeCell ref="B738:E738"/>
    <mergeCell ref="B739:E739"/>
    <mergeCell ref="B740:E740"/>
  </mergeCells>
  <pageMargins left="0.59055118110236227" right="0.59055118110236227" top="0.59055118110236227" bottom="0.59055118110236227" header="0.23622047244094491" footer="0.23622047244094491"/>
  <pageSetup orientation="portrait" horizontalDpi="4294967293" verticalDpi="300" r:id="rId1"/>
  <headerFooter>
    <oddHeader>&amp;L&amp;8S.MARADHOO SCHOOL (04 CLASS ROOM BLOCK)&amp;R&amp;8     BILL OF QUANTITIES</oddHeader>
    <oddFooter>&amp;L&amp;8JUNE, 2015&amp;C&amp;8&amp;P&amp;R&amp;8ArchEng Studio Pvt. Ltd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Summary</vt:lpstr>
      <vt:lpstr>Boq</vt:lpstr>
      <vt:lpstr>Boq!Print_Area</vt:lpstr>
      <vt:lpstr>Cover!Print_Area</vt:lpstr>
      <vt:lpstr>Summary!Print_Area</vt:lpstr>
      <vt:lpstr>Boq!Print_Titles</vt:lpstr>
    </vt:vector>
  </TitlesOfParts>
  <Company>BinArch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Yazeedh Mohamed</cp:lastModifiedBy>
  <cp:lastPrinted>2015-06-16T10:39:54Z</cp:lastPrinted>
  <dcterms:created xsi:type="dcterms:W3CDTF">2011-03-24T06:48:27Z</dcterms:created>
  <dcterms:modified xsi:type="dcterms:W3CDTF">2019-09-12T10:25:57Z</dcterms:modified>
</cp:coreProperties>
</file>