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MoE Consultancy Project\2-Design\4. Projects\Other Design Projects by MoE\Kalaafaanu School Toilet Block and Ramp and Lift\"/>
    </mc:Choice>
  </mc:AlternateContent>
  <bookViews>
    <workbookView xWindow="0" yWindow="0" windowWidth="13110" windowHeight="11760" activeTab="2"/>
  </bookViews>
  <sheets>
    <sheet name="Cover" sheetId="3" r:id="rId1"/>
    <sheet name="Summary" sheetId="2" r:id="rId2"/>
    <sheet name="Boq" sheetId="1" r:id="rId3"/>
  </sheets>
  <definedNames>
    <definedName name="_xlnm.Print_Area" localSheetId="2">Boq!$A$1:$G$509</definedName>
    <definedName name="_xlnm.Print_Area" localSheetId="0">Cover!$A$1:$A$34</definedName>
    <definedName name="_xlnm.Print_Area" localSheetId="1">Summary!$A$1:$C$20</definedName>
    <definedName name="_xlnm.Print_Titles" localSheetId="2">Boq!$3:$3</definedName>
  </definedNames>
  <calcPr calcId="152511"/>
</workbook>
</file>

<file path=xl/calcChain.xml><?xml version="1.0" encoding="utf-8"?>
<calcChain xmlns="http://schemas.openxmlformats.org/spreadsheetml/2006/main">
  <c r="G395" i="1" l="1"/>
  <c r="G385" i="1"/>
  <c r="B14" i="2" l="1"/>
  <c r="G410" i="1"/>
  <c r="G184" i="1"/>
  <c r="G185" i="1"/>
  <c r="I185" i="1"/>
  <c r="J185" i="1" s="1"/>
  <c r="K148" i="1"/>
  <c r="L148" i="1" s="1"/>
  <c r="M148" i="1" s="1"/>
  <c r="K147" i="1"/>
  <c r="L147" i="1" s="1"/>
  <c r="M147" i="1" s="1"/>
  <c r="J146" i="1"/>
  <c r="I146" i="1"/>
  <c r="G146" i="1"/>
  <c r="G145" i="1"/>
  <c r="K144" i="1"/>
  <c r="L144" i="1" s="1"/>
  <c r="M144" i="1" s="1"/>
  <c r="G69" i="1"/>
  <c r="K146" i="1" l="1"/>
  <c r="L146" i="1" s="1"/>
  <c r="G147" i="1"/>
  <c r="I148" i="1"/>
  <c r="G122" i="1"/>
  <c r="G127" i="1"/>
  <c r="G397" i="1"/>
  <c r="G393" i="1"/>
  <c r="G392" i="1"/>
  <c r="G372" i="1"/>
  <c r="G373" i="1"/>
  <c r="G374" i="1"/>
  <c r="G383" i="1"/>
  <c r="G370" i="1"/>
  <c r="L287" i="1"/>
  <c r="K287" i="1"/>
  <c r="J287" i="1"/>
  <c r="I287" i="1"/>
  <c r="G287" i="1"/>
  <c r="I279" i="1"/>
  <c r="G279" i="1"/>
  <c r="L283" i="1"/>
  <c r="K283" i="1"/>
  <c r="J283" i="1"/>
  <c r="I283" i="1"/>
  <c r="G283" i="1"/>
  <c r="L271" i="1"/>
  <c r="K271" i="1"/>
  <c r="J271" i="1"/>
  <c r="I271" i="1"/>
  <c r="G271" i="1"/>
  <c r="L269" i="1"/>
  <c r="K269" i="1"/>
  <c r="J269" i="1"/>
  <c r="I269" i="1"/>
  <c r="G269" i="1"/>
  <c r="I317" i="1"/>
  <c r="K169" i="1"/>
  <c r="L169" i="1" s="1"/>
  <c r="M169" i="1" s="1"/>
  <c r="K168" i="1"/>
  <c r="L168" i="1" s="1"/>
  <c r="M168" i="1" s="1"/>
  <c r="J167" i="1"/>
  <c r="I167" i="1"/>
  <c r="G167" i="1"/>
  <c r="G166" i="1"/>
  <c r="K164" i="1"/>
  <c r="L164" i="1" s="1"/>
  <c r="G164" i="1"/>
  <c r="G160" i="1"/>
  <c r="I160" i="1"/>
  <c r="J160" i="1"/>
  <c r="K162" i="1"/>
  <c r="L162" i="1" s="1"/>
  <c r="M162" i="1" s="1"/>
  <c r="K161" i="1"/>
  <c r="L161" i="1" s="1"/>
  <c r="M161" i="1" s="1"/>
  <c r="G159" i="1"/>
  <c r="K155" i="1"/>
  <c r="L155" i="1" s="1"/>
  <c r="M155" i="1" s="1"/>
  <c r="K154" i="1"/>
  <c r="L154" i="1" s="1"/>
  <c r="M154" i="1" s="1"/>
  <c r="J153" i="1"/>
  <c r="I153" i="1"/>
  <c r="G152" i="1"/>
  <c r="G132" i="1"/>
  <c r="J132" i="1"/>
  <c r="I132" i="1"/>
  <c r="G131" i="1"/>
  <c r="J129" i="1"/>
  <c r="I129" i="1"/>
  <c r="G128" i="1"/>
  <c r="J127" i="1"/>
  <c r="I127" i="1"/>
  <c r="G126" i="1"/>
  <c r="J124" i="1"/>
  <c r="I124" i="1"/>
  <c r="G123" i="1"/>
  <c r="J122" i="1"/>
  <c r="I122" i="1"/>
  <c r="G121" i="1"/>
  <c r="J119" i="1"/>
  <c r="I119" i="1"/>
  <c r="J118" i="1"/>
  <c r="I118" i="1"/>
  <c r="G117" i="1"/>
  <c r="J104" i="1"/>
  <c r="I104" i="1"/>
  <c r="G104" i="1"/>
  <c r="G103" i="1"/>
  <c r="J101" i="1"/>
  <c r="I101" i="1"/>
  <c r="G100" i="1"/>
  <c r="J96" i="1"/>
  <c r="I96" i="1"/>
  <c r="G95" i="1"/>
  <c r="G91" i="1"/>
  <c r="J90" i="1"/>
  <c r="I90" i="1"/>
  <c r="G90" i="1"/>
  <c r="J91" i="1"/>
  <c r="I91" i="1"/>
  <c r="G89" i="1"/>
  <c r="G85" i="1"/>
  <c r="J99" i="1"/>
  <c r="I99" i="1"/>
  <c r="G99" i="1" l="1"/>
  <c r="G384" i="1"/>
  <c r="G165" i="1"/>
  <c r="G161" i="1"/>
  <c r="G148" i="1"/>
  <c r="I147" i="1"/>
  <c r="I144" i="1"/>
  <c r="G124" i="1"/>
  <c r="G398" i="1"/>
  <c r="G399" i="1"/>
  <c r="G394" i="1"/>
  <c r="G96" i="1"/>
  <c r="M287" i="1"/>
  <c r="M283" i="1"/>
  <c r="J317" i="1"/>
  <c r="K317" i="1" s="1"/>
  <c r="M269" i="1"/>
  <c r="M271" i="1"/>
  <c r="G317" i="1"/>
  <c r="K167" i="1"/>
  <c r="L167" i="1" s="1"/>
  <c r="K160" i="1"/>
  <c r="L160" i="1" s="1"/>
  <c r="G168" i="1"/>
  <c r="G169" i="1"/>
  <c r="M164" i="1"/>
  <c r="N164" i="1" s="1"/>
  <c r="O164" i="1" s="1"/>
  <c r="I162" i="1"/>
  <c r="K153" i="1"/>
  <c r="L153" i="1" s="1"/>
  <c r="K132" i="1"/>
  <c r="L132" i="1" s="1"/>
  <c r="G154" i="1"/>
  <c r="G153" i="1"/>
  <c r="G119" i="1"/>
  <c r="G118" i="1"/>
  <c r="K124" i="1"/>
  <c r="L124" i="1" s="1"/>
  <c r="K90" i="1"/>
  <c r="K104" i="1"/>
  <c r="L104" i="1" s="1"/>
  <c r="K127" i="1"/>
  <c r="L127" i="1" s="1"/>
  <c r="G115" i="1"/>
  <c r="K118" i="1"/>
  <c r="L118" i="1" s="1"/>
  <c r="K119" i="1"/>
  <c r="L119" i="1" s="1"/>
  <c r="K122" i="1"/>
  <c r="L122" i="1" s="1"/>
  <c r="K129" i="1"/>
  <c r="K101" i="1"/>
  <c r="L101" i="1" s="1"/>
  <c r="K91" i="1"/>
  <c r="K96" i="1"/>
  <c r="L96" i="1" s="1"/>
  <c r="G64" i="1"/>
  <c r="K99" i="1"/>
  <c r="L99" i="1" s="1"/>
  <c r="G144" i="1" l="1"/>
  <c r="I165" i="1"/>
  <c r="I169" i="1"/>
  <c r="I168" i="1"/>
  <c r="I155" i="1"/>
  <c r="G155" i="1"/>
  <c r="L129" i="1"/>
  <c r="I161" i="1"/>
  <c r="G162" i="1"/>
  <c r="I154" i="1"/>
  <c r="L91" i="1"/>
  <c r="L90" i="1"/>
  <c r="G129" i="1"/>
  <c r="G101" i="1"/>
  <c r="G342" i="1"/>
  <c r="J342" i="1"/>
  <c r="I342" i="1"/>
  <c r="G270" i="1"/>
  <c r="K250" i="1"/>
  <c r="I250" i="1"/>
  <c r="J250" i="1" s="1"/>
  <c r="L249" i="1"/>
  <c r="M249" i="1" s="1"/>
  <c r="N249" i="1" s="1"/>
  <c r="I249" i="1"/>
  <c r="J249" i="1" s="1"/>
  <c r="G249" i="1"/>
  <c r="P247" i="1"/>
  <c r="M247" i="1"/>
  <c r="I247" i="1"/>
  <c r="G247" i="1"/>
  <c r="P246" i="1"/>
  <c r="Q246" i="1" s="1"/>
  <c r="N246" i="1"/>
  <c r="I246" i="1"/>
  <c r="J246" i="1" s="1"/>
  <c r="L246" i="1" s="1"/>
  <c r="M246" i="1" s="1"/>
  <c r="I225" i="1"/>
  <c r="J225" i="1" s="1"/>
  <c r="L225" i="1" s="1"/>
  <c r="M225" i="1" s="1"/>
  <c r="G224" i="1"/>
  <c r="G314" i="1"/>
  <c r="I314" i="1"/>
  <c r="K171" i="1"/>
  <c r="L171" i="1" s="1"/>
  <c r="G171" i="1"/>
  <c r="G163" i="1"/>
  <c r="I143" i="1"/>
  <c r="J143" i="1" s="1"/>
  <c r="G143" i="1"/>
  <c r="G98" i="1"/>
  <c r="O246" i="1" l="1"/>
  <c r="Q247" i="1" s="1"/>
  <c r="N247" i="1" s="1"/>
  <c r="L250" i="1"/>
  <c r="N250" i="1" s="1"/>
  <c r="O250" i="1" s="1"/>
  <c r="J314" i="1"/>
  <c r="G172" i="1"/>
  <c r="M171" i="1"/>
  <c r="N171" i="1" s="1"/>
  <c r="O171" i="1" s="1"/>
  <c r="I65" i="1"/>
  <c r="J65" i="1" s="1"/>
  <c r="G225" i="1" l="1"/>
  <c r="K314" i="1"/>
  <c r="I172" i="1"/>
  <c r="I234" i="1"/>
  <c r="G248" i="1" l="1"/>
  <c r="G340" i="1"/>
  <c r="G250" i="1"/>
  <c r="G341" i="1"/>
  <c r="G22" i="1"/>
  <c r="G23" i="1"/>
  <c r="G24" i="1"/>
  <c r="G25" i="1"/>
  <c r="G26" i="1"/>
  <c r="G27" i="1"/>
  <c r="G463" i="1" l="1"/>
  <c r="G509" i="1" s="1"/>
  <c r="G426" i="1"/>
  <c r="G453" i="1" s="1"/>
  <c r="G368" i="1"/>
  <c r="J88" i="1"/>
  <c r="L243" i="1"/>
  <c r="M243" i="1" s="1"/>
  <c r="N243" i="1" s="1"/>
  <c r="M241" i="1"/>
  <c r="I338" i="1"/>
  <c r="I267" i="1"/>
  <c r="K244" i="1"/>
  <c r="I244" i="1"/>
  <c r="J244" i="1" s="1"/>
  <c r="I243" i="1"/>
  <c r="J243" i="1" s="1"/>
  <c r="I240" i="1"/>
  <c r="J240" i="1" s="1"/>
  <c r="L240" i="1" s="1"/>
  <c r="M240" i="1" s="1"/>
  <c r="P240" i="1"/>
  <c r="Q240" i="1" s="1"/>
  <c r="N240" i="1"/>
  <c r="P241" i="1"/>
  <c r="I241" i="1"/>
  <c r="P235" i="1"/>
  <c r="P234" i="1"/>
  <c r="Q234" i="1" s="1"/>
  <c r="L237" i="1"/>
  <c r="M237" i="1" s="1"/>
  <c r="N237" i="1" s="1"/>
  <c r="I238" i="1"/>
  <c r="J238" i="1" s="1"/>
  <c r="I237" i="1"/>
  <c r="J237" i="1" s="1"/>
  <c r="K238" i="1"/>
  <c r="I221" i="1"/>
  <c r="J221" i="1" s="1"/>
  <c r="L221" i="1" s="1"/>
  <c r="M221" i="1" s="1"/>
  <c r="J234" i="1"/>
  <c r="L234" i="1" s="1"/>
  <c r="M234" i="1" s="1"/>
  <c r="N234" i="1"/>
  <c r="I235" i="1"/>
  <c r="I217" i="1"/>
  <c r="J217" i="1" s="1"/>
  <c r="G221" i="1"/>
  <c r="G220" i="1"/>
  <c r="K183" i="1"/>
  <c r="I183" i="1"/>
  <c r="J183" i="1"/>
  <c r="G183" i="1"/>
  <c r="G182" i="1"/>
  <c r="C16" i="2" l="1"/>
  <c r="O234" i="1"/>
  <c r="Q235" i="1" s="1"/>
  <c r="L238" i="1"/>
  <c r="N238" i="1" s="1"/>
  <c r="O238" i="1" s="1"/>
  <c r="O240" i="1"/>
  <c r="Q241" i="1" s="1"/>
  <c r="N241" i="1" s="1"/>
  <c r="L244" i="1"/>
  <c r="N244" i="1" s="1"/>
  <c r="O244" i="1" s="1"/>
  <c r="M183" i="1"/>
  <c r="J94" i="1" l="1"/>
  <c r="I94" i="1"/>
  <c r="G389" i="1"/>
  <c r="G388" i="1"/>
  <c r="G387" i="1"/>
  <c r="G382" i="1"/>
  <c r="G379" i="1"/>
  <c r="G376" i="1"/>
  <c r="G375" i="1"/>
  <c r="G371" i="1"/>
  <c r="G369" i="1"/>
  <c r="G367" i="1"/>
  <c r="G366" i="1"/>
  <c r="G352" i="1"/>
  <c r="G338" i="1"/>
  <c r="G333" i="1"/>
  <c r="J338" i="1"/>
  <c r="G295" i="1"/>
  <c r="G268" i="1"/>
  <c r="G267" i="1"/>
  <c r="G266" i="1"/>
  <c r="G244" i="1"/>
  <c r="G243" i="1"/>
  <c r="G242" i="1"/>
  <c r="G241" i="1"/>
  <c r="G238" i="1"/>
  <c r="G237" i="1"/>
  <c r="G235" i="1"/>
  <c r="G234" i="1"/>
  <c r="G217" i="1"/>
  <c r="G216" i="1"/>
  <c r="G189" i="1"/>
  <c r="G188" i="1"/>
  <c r="G186" i="1"/>
  <c r="G170" i="1"/>
  <c r="I158" i="1"/>
  <c r="G158" i="1"/>
  <c r="G156" i="1"/>
  <c r="I151" i="1"/>
  <c r="G151" i="1"/>
  <c r="G149" i="1"/>
  <c r="M109" i="1"/>
  <c r="G150" i="1" l="1"/>
  <c r="G336" i="1"/>
  <c r="G332" i="1"/>
  <c r="G157" i="1"/>
  <c r="G331" i="1"/>
  <c r="G337" i="1"/>
  <c r="I333" i="1"/>
  <c r="G292" i="1"/>
  <c r="K157" i="1"/>
  <c r="L157" i="1" s="1"/>
  <c r="M157" i="1" s="1"/>
  <c r="N157" i="1" s="1"/>
  <c r="O157" i="1" s="1"/>
  <c r="K94" i="1"/>
  <c r="L94" i="1" s="1"/>
  <c r="G416" i="1"/>
  <c r="C14" i="2" s="1"/>
  <c r="G322" i="1"/>
  <c r="C10" i="2" s="1"/>
  <c r="G258" i="1" l="1"/>
  <c r="C8" i="2" s="1"/>
  <c r="G355" i="1"/>
  <c r="C12" i="2" s="1"/>
  <c r="G187" i="1"/>
  <c r="L217" i="1"/>
  <c r="M217" i="1" s="1"/>
  <c r="I291" i="1"/>
  <c r="J291" i="1" s="1"/>
  <c r="K291" i="1" s="1"/>
  <c r="G291" i="1"/>
  <c r="G344" i="1" l="1"/>
  <c r="C11" i="2" s="1"/>
  <c r="C15" i="2"/>
  <c r="G301" i="1"/>
  <c r="C9" i="2" s="1"/>
  <c r="I88" i="1"/>
  <c r="J81" i="1"/>
  <c r="I82" i="1"/>
  <c r="J82" i="1" s="1"/>
  <c r="P81" i="1"/>
  <c r="O81" i="1"/>
  <c r="N81" i="1"/>
  <c r="M81" i="1"/>
  <c r="L81" i="1"/>
  <c r="K81" i="1"/>
  <c r="I81" i="1"/>
  <c r="I63" i="1"/>
  <c r="K62" i="1"/>
  <c r="P62" i="1"/>
  <c r="O62" i="1"/>
  <c r="N62" i="1"/>
  <c r="M62" i="1"/>
  <c r="L62" i="1"/>
  <c r="J62" i="1"/>
  <c r="I62" i="1"/>
  <c r="K88" i="1" l="1"/>
  <c r="J63" i="1"/>
  <c r="Q62" i="1"/>
  <c r="R62" i="1" s="1"/>
  <c r="Q81" i="1"/>
  <c r="R81" i="1" s="1"/>
  <c r="L82" i="1" s="1"/>
  <c r="L88" i="1" l="1"/>
  <c r="K151" i="1"/>
  <c r="L151" i="1" s="1"/>
  <c r="M151" i="1" s="1"/>
  <c r="L63" i="1"/>
  <c r="G94" i="1" l="1"/>
  <c r="G93" i="1"/>
  <c r="G88" i="1"/>
  <c r="G87" i="1"/>
  <c r="I59" i="1"/>
  <c r="G32" i="1" l="1"/>
  <c r="G82" i="1" l="1"/>
  <c r="G72" i="1"/>
  <c r="G71" i="1"/>
  <c r="G70" i="1"/>
  <c r="G59" i="1"/>
  <c r="G206" i="1" l="1"/>
  <c r="G31" i="1"/>
  <c r="G30" i="1"/>
  <c r="G28" i="1"/>
  <c r="G51" i="1" l="1"/>
  <c r="C5" i="2" s="1"/>
  <c r="G74" i="1" l="1"/>
  <c r="C6" i="2" l="1"/>
  <c r="C7" i="2" l="1"/>
  <c r="G377" i="1" l="1"/>
  <c r="G402" i="1" s="1"/>
  <c r="C13" i="2" s="1"/>
  <c r="C18" i="2" s="1"/>
  <c r="C19" i="2" l="1"/>
  <c r="C20" i="2" s="1"/>
  <c r="F18" i="2"/>
  <c r="F17" i="2"/>
</calcChain>
</file>

<file path=xl/sharedStrings.xml><?xml version="1.0" encoding="utf-8"?>
<sst xmlns="http://schemas.openxmlformats.org/spreadsheetml/2006/main" count="603" uniqueCount="333">
  <si>
    <t>Item</t>
  </si>
  <si>
    <t>Description</t>
  </si>
  <si>
    <t>Unit</t>
  </si>
  <si>
    <t>Qty</t>
  </si>
  <si>
    <t>Material
Rate</t>
  </si>
  <si>
    <t>Labour
Rate</t>
  </si>
  <si>
    <t>Total</t>
  </si>
  <si>
    <t>(1)</t>
  </si>
  <si>
    <t>nos</t>
  </si>
  <si>
    <t>kg</t>
  </si>
  <si>
    <t>2.2</t>
  </si>
  <si>
    <t>REINFORCEMENT WORK</t>
  </si>
  <si>
    <t>FORM WORK</t>
  </si>
  <si>
    <t>REINFORCED CONCRETE</t>
  </si>
  <si>
    <t>item</t>
  </si>
  <si>
    <t>2.3</t>
  </si>
  <si>
    <t>BILL No: 01</t>
  </si>
  <si>
    <t>PRELIMINARIES</t>
  </si>
  <si>
    <t>General Notes</t>
  </si>
  <si>
    <t>Abbreviations</t>
  </si>
  <si>
    <t>m - metre</t>
  </si>
  <si>
    <t>no - numbers</t>
  </si>
  <si>
    <t>m³ - cubic metre</t>
  </si>
  <si>
    <t>m² - square metre</t>
  </si>
  <si>
    <t>t - tonnes</t>
  </si>
  <si>
    <t>incl - including</t>
  </si>
  <si>
    <t>mm - millimetre</t>
  </si>
  <si>
    <t>dia - diameter</t>
  </si>
  <si>
    <t>SS - Stainless Steel</t>
  </si>
  <si>
    <t>GI - Galvanised Iron</t>
  </si>
  <si>
    <t>Site Management Costs</t>
  </si>
  <si>
    <t>Sign Board</t>
  </si>
  <si>
    <t>Allow for sign board.</t>
  </si>
  <si>
    <t>No</t>
  </si>
  <si>
    <t>Clean-up</t>
  </si>
  <si>
    <t>Allow for clean-up of completed works and site upon completion.</t>
  </si>
  <si>
    <t>BILL No: 01 PRELIMINARIES</t>
  </si>
  <si>
    <t>TOTAL OF BILL No: 01 - Carried over to summary</t>
  </si>
  <si>
    <t>BILL NO : 02</t>
  </si>
  <si>
    <t>GROUND WORK</t>
  </si>
  <si>
    <t>General</t>
  </si>
  <si>
    <t>m²</t>
  </si>
  <si>
    <t>Excavation</t>
  </si>
  <si>
    <t>m³</t>
  </si>
  <si>
    <t>Back filling</t>
  </si>
  <si>
    <t>2.4.1</t>
  </si>
  <si>
    <t>Damp Proof Membrane</t>
  </si>
  <si>
    <t>(a) Rates shall include for: dressing around and sealing to all penetrations,   laps and turnups.</t>
  </si>
  <si>
    <t xml:space="preserve">Polythene damp proof membrane (500 gauge) laid on blinding layer.  </t>
  </si>
  <si>
    <t>BILL No: 02 GROUND WORKS</t>
  </si>
  <si>
    <t>TOTAL OF BILL No: 02 - Carried over to summary</t>
  </si>
  <si>
    <t>BILL NO : 03</t>
  </si>
  <si>
    <t>3.0</t>
  </si>
  <si>
    <t>CONCRETE</t>
  </si>
  <si>
    <t xml:space="preserve"> </t>
  </si>
  <si>
    <t>Site clearance</t>
  </si>
  <si>
    <t>Clearing site - Demolition of Existing building and dispatch all debris, clearing and dispose all unwanted materials away from site and prepare site ready for proposed construction.</t>
  </si>
  <si>
    <t>3.1.1</t>
  </si>
  <si>
    <t>LEAN CONCRETE</t>
  </si>
  <si>
    <t>FOUNDATIONS</t>
  </si>
  <si>
    <t>(a)</t>
  </si>
  <si>
    <t>(b)</t>
  </si>
  <si>
    <t>GROUND FLOOR</t>
  </si>
  <si>
    <t>3.2</t>
  </si>
  <si>
    <t>FIRST FLOOR</t>
  </si>
  <si>
    <t>(c)</t>
  </si>
  <si>
    <t>3.3</t>
  </si>
  <si>
    <t>(b) Timber used for unexposed concrete surface shall sound dressed and seasoned good quality common timber while for exposed concrete surfaces dressedand matched boards uniformly thick and not more than 251mm wide.</t>
  </si>
  <si>
    <t>c) Plywood used for forms shall be of commercial standard, moisture resistane conrete form plywoodnot lessthan 6mm thick and atleast 12mm thick.</t>
  </si>
  <si>
    <t>(d) Rates shall include for; all necessary boarding,supports, erecting, framing, temporary cambering cutting, perforations for reinforcing bars, bolts,straps,ties, hangers, pipes and removal of  formwork.</t>
  </si>
  <si>
    <t>SUMMARY OF BILL OF QUANTITIES</t>
  </si>
  <si>
    <t>Bl.no</t>
  </si>
  <si>
    <t>Item Description</t>
  </si>
  <si>
    <t>Amount</t>
  </si>
  <si>
    <t>1</t>
  </si>
  <si>
    <t>2</t>
  </si>
  <si>
    <t>GROUND WORKS</t>
  </si>
  <si>
    <t>3</t>
  </si>
  <si>
    <t>CONCRETE WORKS</t>
  </si>
  <si>
    <t>4</t>
  </si>
  <si>
    <t>MASONRY  &amp;  PLASTERING</t>
  </si>
  <si>
    <t>5</t>
  </si>
  <si>
    <t>FLOORING  &amp;  TILING</t>
  </si>
  <si>
    <t>6</t>
  </si>
  <si>
    <t>7</t>
  </si>
  <si>
    <t>DOORS  &amp;  WINDOWS</t>
  </si>
  <si>
    <t>8</t>
  </si>
  <si>
    <t>9</t>
  </si>
  <si>
    <t>PAINTING</t>
  </si>
  <si>
    <t>10</t>
  </si>
  <si>
    <t>METAL WORK</t>
  </si>
  <si>
    <t>11</t>
  </si>
  <si>
    <t>ELECTRICAL INSTALLATIONS</t>
  </si>
  <si>
    <t>3.4</t>
  </si>
  <si>
    <t>(a)  Main reinforcement steel shall be high tensile  steel hot rolled deformed bars complying with  BS 1119  or  BS 1172  Characteristic strength not  less than 160N/mm2.</t>
  </si>
  <si>
    <t>(b) Stirrups shall be hot rolled mildsteel round bars complying with BS 1119, Characteristic strength  not less than 250N/mm2</t>
  </si>
  <si>
    <t>BILL No: 04</t>
  </si>
  <si>
    <t>MASONRY AND PLASTERING</t>
  </si>
  <si>
    <t xml:space="preserve"> PLASTERING</t>
  </si>
  <si>
    <t>BILL N0: 05</t>
  </si>
  <si>
    <t>FLOORING &amp; TILING</t>
  </si>
  <si>
    <t>5.1</t>
  </si>
  <si>
    <t>DOORS AND WINDOWS</t>
  </si>
  <si>
    <t>7.1</t>
  </si>
  <si>
    <t>no</t>
  </si>
  <si>
    <t>TOTAL OF BILL No: 07 - Carried over to summary</t>
  </si>
  <si>
    <t>BILL No: 08</t>
  </si>
  <si>
    <t>8.1</t>
  </si>
  <si>
    <t>TOTAL OF BILL No: 08 - Carried over to summary</t>
  </si>
  <si>
    <t>BILL No: 09</t>
  </si>
  <si>
    <t>9.1</t>
  </si>
  <si>
    <t>TOTAL OF BILL No: 09 - Carried over to summary</t>
  </si>
  <si>
    <t>BILL No: 10</t>
  </si>
  <si>
    <t>RAILING</t>
  </si>
  <si>
    <t>TOTAL OF BILL No: 10 - Carried over to summary</t>
  </si>
  <si>
    <t>BILL No: 11</t>
  </si>
  <si>
    <t>TOTAL OF BILL No: 11 - Carried over to summary</t>
  </si>
  <si>
    <t>(a) Exposed surface shall have fair finish while remaining may have rough finish.</t>
  </si>
  <si>
    <t>MASONRY</t>
  </si>
  <si>
    <t>External surface of exeterior wall</t>
  </si>
  <si>
    <t>(a) Rates shall include for laying 50mm thick cement mortar in 1 : 5 mix ratio,cleaning down to reveals where necessary and water proofing of Toilet and Balcony floors &amp; Terrace.</t>
  </si>
  <si>
    <t>(a) Rates shall include for ; all labour in framing,  cutting, welding, cleats, baseplates, flanges,screws, nails, bends, and similar complete with  grinding, surface smoothening and polish finishes.</t>
  </si>
  <si>
    <r>
      <t>m</t>
    </r>
    <r>
      <rPr>
        <vertAlign val="superscript"/>
        <sz val="9"/>
        <color theme="1"/>
        <rFont val="Times New Roman"/>
        <family val="1"/>
      </rPr>
      <t>3</t>
    </r>
  </si>
  <si>
    <r>
      <t>m</t>
    </r>
    <r>
      <rPr>
        <vertAlign val="superscript"/>
        <sz val="9"/>
        <color theme="1"/>
        <rFont val="Times New Roman"/>
        <family val="1"/>
      </rPr>
      <t>2</t>
    </r>
  </si>
  <si>
    <r>
      <t>m</t>
    </r>
    <r>
      <rPr>
        <vertAlign val="superscript"/>
        <sz val="9"/>
        <rFont val="Times New Roman"/>
        <family val="1"/>
      </rPr>
      <t>2</t>
    </r>
  </si>
  <si>
    <t>5.2</t>
  </si>
  <si>
    <t>5.3</t>
  </si>
  <si>
    <t>TILING</t>
  </si>
  <si>
    <t>BILL No: 05 -FLOORING AND TILING</t>
  </si>
  <si>
    <t>TOTAL OF BILL No: 05 - Carried over to summary</t>
  </si>
  <si>
    <t>BILL No: 04 - MASONRY AND PLASTERING</t>
  </si>
  <si>
    <t>BILL No: 03 - CONCRETE WORKS</t>
  </si>
  <si>
    <t>(c) Quantity is measured to the edges of concrete foundation members. Rates shall be inclusive for any additional concrete 
required to place the formwork.</t>
  </si>
  <si>
    <t xml:space="preserve">(b)Rates shall include for External plastering shall 20mm thick (12+8mm)  2 coats in 1:4 cement and river sand mix ratio </t>
  </si>
  <si>
    <t xml:space="preserve">Bill of Quantities </t>
  </si>
  <si>
    <t>1.4</t>
  </si>
  <si>
    <t>SAFETY</t>
  </si>
  <si>
    <t>1 )</t>
  </si>
  <si>
    <t>2 )</t>
  </si>
  <si>
    <t>PREPARED BY</t>
  </si>
  <si>
    <t>5.4</t>
  </si>
  <si>
    <t>5.5</t>
  </si>
  <si>
    <t>6.1</t>
  </si>
  <si>
    <t>7.2</t>
  </si>
  <si>
    <t>9.2</t>
  </si>
  <si>
    <t>TOTAL OF BILL No: 03 - Carried over to summary</t>
  </si>
  <si>
    <t>1.5</t>
  </si>
  <si>
    <t xml:space="preserve">                                                                                                                                                                                                                </t>
  </si>
  <si>
    <t>3 )</t>
  </si>
  <si>
    <t>(d) Each Light/ light fixture and its switch is measured as one one point; similarly each fan or each socket outlet is 
measured as one point;</t>
  </si>
  <si>
    <t>a )</t>
  </si>
  <si>
    <t>b )</t>
  </si>
  <si>
    <t>BILL N0: 06</t>
  </si>
  <si>
    <t>BILL N0: 06 -  DOORS AND WINDOWS</t>
  </si>
  <si>
    <t>TOTAL OF BILL No: 06 - Carried over to summary</t>
  </si>
  <si>
    <t>BILL No: 07</t>
  </si>
  <si>
    <r>
      <t xml:space="preserve">(a) 20mm thick Cement plastering on Exterior surface of  External masonry walls and concrete surfaces and 15mm thick plastering on interior walls and concrete surface as specified incl. wire mesh shall be fixed at the joints of concrete surfaces and walls before plastering. </t>
    </r>
    <r>
      <rPr>
        <b/>
        <sz val="9"/>
        <rFont val="Times New Roman"/>
        <family val="1"/>
      </rPr>
      <t>Quantity is measured including concrete surfaces - Parapetwalls, Liftwalls, columns &amp; beams.</t>
    </r>
  </si>
  <si>
    <t>TOTAL OF BILL No: 04 - Carried over to summary</t>
  </si>
  <si>
    <t>R.C.C. GROUND FLOOR SLAB</t>
  </si>
  <si>
    <t>OTHER CONCRETE WORKS</t>
  </si>
  <si>
    <t>b )Cutting or leaving holes and openings as recesses for and building in pipes, conduits , sleeves and similar as required for all trades; leaving surfaces rough or raking out joints for  plastering and flashings, bedding frames or plates, building in joints.</t>
  </si>
  <si>
    <t>a )Rates shall include for cleaning out cavities, forming rebated reveals and pointing and cleaning down to  reveals where necessary; fractional size blocks, all necessary machine cutting, cutting or forming chases or edges of  floor slabs.</t>
  </si>
  <si>
    <t>FLOORING</t>
  </si>
  <si>
    <t>WATER PROOFING</t>
  </si>
  <si>
    <t>GROUND FLOOR SLAB</t>
  </si>
  <si>
    <t>(e) All doors and windows shall be  accordance with  door/window drawing details.</t>
  </si>
  <si>
    <t xml:space="preserve">50mm thick Floor Screeding </t>
  </si>
  <si>
    <r>
      <t>m</t>
    </r>
    <r>
      <rPr>
        <vertAlign val="superscript"/>
        <sz val="10"/>
        <rFont val="Times New Roman"/>
        <family val="1"/>
      </rPr>
      <t>2</t>
    </r>
  </si>
  <si>
    <t>TILE ADHESIVE</t>
  </si>
  <si>
    <t>ELECTRIC FIXTURES</t>
  </si>
  <si>
    <t xml:space="preserve">ELECTRICAL WIRING </t>
  </si>
  <si>
    <t>points</t>
  </si>
  <si>
    <t>Allow for all on and off site management cost including costs of foreman and assistants, temporary services, telephone, fax, hoardings, fences, Crane/Concrete pump, Machinaries  and similar items</t>
  </si>
  <si>
    <t>(a) Rates shall include for: leveling, grading, trimming, compacting to faces of excavation, keep sides plumb, backfilling, consolidating, additional working space and disposing surplus soil.</t>
  </si>
  <si>
    <t>(b) Mix ratio for  reinforced concrete shall be 
1:2:3 and lean concrete shall be 1:2:6 by volume.</t>
  </si>
  <si>
    <t>(a) Rates shall include for: placing in position; making good after removal of formwork and casting in all required items; additional concrete required to conform to structural and excavated tolerances.</t>
  </si>
  <si>
    <t>BELOW GROUND</t>
  </si>
  <si>
    <t>12mm dia deformed bars - 6m</t>
  </si>
  <si>
    <t>10mm dia deformed bars - 6m</t>
  </si>
  <si>
    <t>FLOOR TILING</t>
  </si>
  <si>
    <t>(a) Rates shall include for: Fixing, bedding, grouting, and pointing materials, making good around pipes, sanitary fixtures, and similar; cleaning &amp; Polishing.</t>
  </si>
  <si>
    <t>(b) All Tiling work in accordance with specifications and finishes schedule.</t>
  </si>
  <si>
    <t>A )</t>
  </si>
  <si>
    <r>
      <t>2.5mm</t>
    </r>
    <r>
      <rPr>
        <vertAlign val="superscript"/>
        <sz val="9"/>
        <rFont val="Times New Roman"/>
        <family val="1"/>
      </rPr>
      <t xml:space="preserve">2  </t>
    </r>
    <r>
      <rPr>
        <sz val="9"/>
        <rFont val="Times New Roman"/>
        <family val="1"/>
      </rPr>
      <t>Wiring to Power  Points</t>
    </r>
  </si>
  <si>
    <r>
      <t>16mm</t>
    </r>
    <r>
      <rPr>
        <vertAlign val="superscript"/>
        <sz val="9"/>
        <rFont val="Times New Roman"/>
        <family val="1"/>
      </rPr>
      <t>2</t>
    </r>
    <r>
      <rPr>
        <sz val="9"/>
        <rFont val="Times New Roman"/>
        <family val="1"/>
      </rPr>
      <t xml:space="preserve">  Cabling to DBs</t>
    </r>
  </si>
  <si>
    <t>(a) Rates shall include for: leveling, grading, 
trimming and compacting.</t>
  </si>
  <si>
    <t>(b) Ground need to be compacted to the density 
required  by the consultant</t>
  </si>
  <si>
    <t>External Plastering</t>
  </si>
  <si>
    <t>Internal Plastering</t>
  </si>
  <si>
    <t>Internal surface of external wall and both 
surface of Interior walls</t>
  </si>
  <si>
    <t>Safety - Providing and fixing scaffolding with G.I. pipes and clamps and pvc netting alaround 
building during construction</t>
  </si>
  <si>
    <t>WATER PROOFING &amp; ADD MIXTURES</t>
  </si>
  <si>
    <t>50mm thick lean concrete below Foundation</t>
  </si>
  <si>
    <t>c) Rates shall include for approved brand water proofing compound shall be mixed with cement mortar for external wall plastering as per manufacturers specifications.</t>
  </si>
  <si>
    <t>c ) All external wall and all inetrenal walls shall be 100mm thick Solid cement blocks and  for masonry mix ratio 1:5 (cement and river sand)</t>
  </si>
  <si>
    <t>ROOF LEVEL</t>
  </si>
  <si>
    <t>(d) All louvres, windows and sliding doors shall be  30 micron powder coated aluminium as per details given in Door/Window schedule.</t>
  </si>
  <si>
    <t>(b) Rates shall include for door frames and window frames, mullions, transoms, trims, glazing, tinting, timber panels, boardings, framing, lining, fastenings and all fixings and installation.</t>
  </si>
  <si>
    <t>(a) Rates shall include for locks, latches, closers, push plates, pull handles, bolts, kick plates, hinges and all door &amp; window hardware.</t>
  </si>
  <si>
    <t>(c) Rates shall include for electrical conduits, fittings, equipment and similar all fixings to various building surfaces and also all elecetrical work  shall be carried out according to STELCO standards and specifications.</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</si>
  <si>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</si>
  <si>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</si>
  <si>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(b) All painting work shall be carried in 
accordance with the Specifications</t>
  </si>
  <si>
    <t>(a) Rates shall include for: the provision, erection and removal of scaffolding, preparation, rubbing down between coats and similar work, the protection and/or masking floors, fittings and similar work, removing and 
replacing door and window furniture.</t>
  </si>
  <si>
    <t>(c ) Rates shall include for; distribution steel, cleaning,  fabrication, placing, the provision for all necessary temporary fixings, and supports including chairs and tie wire , laps and wastage.</t>
  </si>
  <si>
    <t>100mm thick R.C. slab</t>
  </si>
  <si>
    <t>FLOOR SLAB</t>
  </si>
  <si>
    <t>WINDOW SILL &amp; LINTELS</t>
  </si>
  <si>
    <t xml:space="preserve">Charges for construction of R.c.c. Sills and Lintels for the windows and doors as per details. Rate shall include for shuttering and Reinforcement works complete. </t>
  </si>
  <si>
    <t>External walls</t>
  </si>
  <si>
    <t>Corridor</t>
  </si>
  <si>
    <t>12</t>
  </si>
  <si>
    <t>BILL No: 12</t>
  </si>
  <si>
    <t>GENERAL</t>
  </si>
  <si>
    <t>TOTAL OF BILL No: 12 - Carried over to summary</t>
  </si>
  <si>
    <t>ADDITIONS</t>
  </si>
  <si>
    <t>OMISSIONS</t>
  </si>
  <si>
    <t>Provision  to include quantities as per the drawing which is missed in the bill of quantities.</t>
  </si>
  <si>
    <t>CLIENT</t>
  </si>
  <si>
    <t>2.5</t>
  </si>
  <si>
    <r>
      <t xml:space="preserve">Apply Rubberised bitumin water proofing paint, </t>
    </r>
    <r>
      <rPr>
        <b/>
        <sz val="9"/>
        <color theme="1"/>
        <rFont val="Times New Roman"/>
        <family val="1"/>
      </rPr>
      <t>Moya Shield RBE,</t>
    </r>
    <r>
      <rPr>
        <sz val="9"/>
        <color theme="1"/>
        <rFont val="Times New Roman"/>
        <family val="1"/>
      </rPr>
      <t xml:space="preserve"> 2 coats to all exposed concrete and masonry surface below ground level.</t>
    </r>
  </si>
  <si>
    <r>
      <t xml:space="preserve">Add approved water proofing admixture </t>
    </r>
    <r>
      <rPr>
        <b/>
        <sz val="9"/>
        <color theme="1"/>
        <rFont val="Times New Roman"/>
        <family val="1"/>
      </rPr>
      <t>Mega Add WL1</t>
    </r>
    <r>
      <rPr>
        <sz val="9"/>
        <color theme="1"/>
        <rFont val="Times New Roman"/>
        <family val="1"/>
      </rPr>
      <t xml:space="preserve"> as per specification to all concrete below ground level.</t>
    </r>
  </si>
  <si>
    <r>
      <t xml:space="preserve">Add Plasticiser admixture </t>
    </r>
    <r>
      <rPr>
        <b/>
        <sz val="9"/>
        <color theme="1"/>
        <rFont val="Times New Roman"/>
        <family val="1"/>
      </rPr>
      <t>Mega Flow P</t>
    </r>
    <r>
      <rPr>
        <sz val="9"/>
        <color theme="1"/>
        <rFont val="Times New Roman"/>
        <family val="1"/>
      </rPr>
      <t xml:space="preserve"> as per specification to all concrete Substreucture and Super structure.</t>
    </r>
  </si>
  <si>
    <t>Toilets</t>
  </si>
  <si>
    <r>
      <t xml:space="preserve">(c)Rate shall include for weather proof  paint finish for </t>
    </r>
    <r>
      <rPr>
        <b/>
        <sz val="9"/>
        <rFont val="Times New Roman"/>
        <family val="1"/>
      </rPr>
      <t>exterior surfaces of the wall</t>
    </r>
    <r>
      <rPr>
        <sz val="9"/>
        <rFont val="Times New Roman"/>
        <family val="1"/>
      </rPr>
      <t xml:space="preserve"> complete including application of  two coats of oil based wall sealer and two coats of weather bond paint </t>
    </r>
  </si>
  <si>
    <r>
      <t xml:space="preserve">(d)Rate shall include for putty and paint finish for </t>
    </r>
    <r>
      <rPr>
        <b/>
        <sz val="9"/>
        <rFont val="Times New Roman"/>
        <family val="1"/>
      </rPr>
      <t>interior surfaces of the wall and ceilings</t>
    </r>
    <r>
      <rPr>
        <sz val="9"/>
        <rFont val="Times New Roman"/>
        <family val="1"/>
      </rPr>
      <t xml:space="preserve"> complete including application of  two coats of wall sealer, two coats of  putty finish and two coats of  emulsion paint finish on top for Interior painting.</t>
    </r>
  </si>
  <si>
    <t>Painting Soffit of slab (Ceiling)</t>
  </si>
  <si>
    <t>Provision to remove the excess quantity given in the bill quantities if any as per the drawing details</t>
  </si>
  <si>
    <t>(c) All Timber door frames shall be treated timber. Rate shall include for Paint/Varnish finish.</t>
  </si>
  <si>
    <r>
      <t xml:space="preserve">(a) Excavation quantities are measured to the faces of concrete members. Rates shall include for all additional excavation required to place the </t>
    </r>
    <r>
      <rPr>
        <b/>
        <sz val="9"/>
        <rFont val="Times New Roman"/>
        <family val="1"/>
      </rPr>
      <t>formwork , back fill , dewatering</t>
    </r>
    <r>
      <rPr>
        <sz val="9"/>
        <rFont val="Times New Roman"/>
        <family val="1"/>
      </rPr>
      <t xml:space="preserve"> and others </t>
    </r>
  </si>
  <si>
    <t>a</t>
  </si>
  <si>
    <t xml:space="preserve"> TOTAL           Mvr</t>
  </si>
  <si>
    <t>6% GST           Mvr</t>
  </si>
  <si>
    <t>GRAND TOTAL          Mvr</t>
  </si>
  <si>
    <r>
      <t xml:space="preserve">300x150x200mm solid block </t>
    </r>
    <r>
      <rPr>
        <b/>
        <sz val="9"/>
        <color theme="1"/>
        <rFont val="Times New Roman"/>
        <family val="1"/>
      </rPr>
      <t>single</t>
    </r>
    <r>
      <rPr>
        <sz val="9"/>
        <color theme="1"/>
        <rFont val="Times New Roman"/>
        <family val="1"/>
      </rPr>
      <t xml:space="preserve"> wall - 200mm thick</t>
    </r>
  </si>
  <si>
    <t>(2)</t>
  </si>
  <si>
    <t>SECOND FLOOR</t>
  </si>
  <si>
    <r>
      <t xml:space="preserve">300x150x150mm solid block </t>
    </r>
    <r>
      <rPr>
        <b/>
        <sz val="9"/>
        <color theme="1"/>
        <rFont val="Times New Roman"/>
        <family val="1"/>
      </rPr>
      <t>single</t>
    </r>
    <r>
      <rPr>
        <sz val="9"/>
        <color theme="1"/>
        <rFont val="Times New Roman"/>
        <family val="1"/>
      </rPr>
      <t xml:space="preserve"> wall - 150mm thick</t>
    </r>
  </si>
  <si>
    <t xml:space="preserve">External surface of exeterior wall </t>
  </si>
  <si>
    <t>(c) Tiles rate shall be given as specified in the drawing.</t>
  </si>
  <si>
    <r>
      <t>Apply 2 coats of Water proofing Compound</t>
    </r>
    <r>
      <rPr>
        <b/>
        <sz val="9"/>
        <rFont val="Times New Roman"/>
        <family val="1"/>
      </rPr>
      <t xml:space="preserve">, </t>
    </r>
    <r>
      <rPr>
        <sz val="9"/>
        <rFont val="Times New Roman"/>
        <family val="1"/>
      </rPr>
      <t xml:space="preserve">on wet surfaces - Toilets, Balcony and Terrace Floors. </t>
    </r>
  </si>
  <si>
    <t>Charges for supplying special tiles grout for fixing tiles to all floors.</t>
  </si>
  <si>
    <t>Ceiling Light (12W)</t>
  </si>
  <si>
    <t>Light Switch (1 Gang )</t>
  </si>
  <si>
    <t>Distribution Board</t>
  </si>
  <si>
    <t>2.4.2</t>
  </si>
  <si>
    <t>Lift Foundation slab</t>
  </si>
  <si>
    <t>Lift wall</t>
  </si>
  <si>
    <t>150mm thick R.C. wall above ground level</t>
  </si>
  <si>
    <t>6.2</t>
  </si>
  <si>
    <t>6.3</t>
  </si>
  <si>
    <t>7.3</t>
  </si>
  <si>
    <t>7.4</t>
  </si>
  <si>
    <t>10mm dia deformed bars - 6m Horizontal</t>
  </si>
  <si>
    <t>10mm dia deformed bars - 6m Vertical</t>
  </si>
  <si>
    <t xml:space="preserve">150mm thick R.C. wall </t>
  </si>
  <si>
    <t>ROOF SLAB</t>
  </si>
  <si>
    <t>External</t>
  </si>
  <si>
    <t>(e) Rates shall include for supply and complete 
installation , fittings and fixtures.</t>
  </si>
  <si>
    <t>-</t>
  </si>
  <si>
    <t>4.3.2</t>
  </si>
  <si>
    <t>4.3.3</t>
  </si>
  <si>
    <t>4.3.4</t>
  </si>
  <si>
    <t>5.2.1</t>
  </si>
  <si>
    <t>5.2.2</t>
  </si>
  <si>
    <t>5.2.3</t>
  </si>
  <si>
    <t>5.3.1</t>
  </si>
  <si>
    <t>5.3.2</t>
  </si>
  <si>
    <t>5.3.3</t>
  </si>
  <si>
    <t>150mm thick R.C. wall  below ground level</t>
  </si>
  <si>
    <t>150mm thick R.c.c. Floor Slab</t>
  </si>
  <si>
    <t>3.2.1</t>
  </si>
  <si>
    <t>3.2.2</t>
  </si>
  <si>
    <t>3.2.3</t>
  </si>
  <si>
    <t>3.2.4</t>
  </si>
  <si>
    <t>3.2.5</t>
  </si>
  <si>
    <t>3.3.1</t>
  </si>
  <si>
    <t>3.3.2</t>
  </si>
  <si>
    <t>3.3.3</t>
  </si>
  <si>
    <t>3.3.4</t>
  </si>
  <si>
    <t>3.3.5</t>
  </si>
  <si>
    <t>3.4.1</t>
  </si>
  <si>
    <t>3.4.2</t>
  </si>
  <si>
    <t>3.4.3</t>
  </si>
  <si>
    <t>3.4.4</t>
  </si>
  <si>
    <t>3.4.5</t>
  </si>
  <si>
    <t>3.5.1</t>
  </si>
  <si>
    <t>3.5.2</t>
  </si>
  <si>
    <t>RAMP</t>
  </si>
  <si>
    <t>Charges for construction of 100mm thick Slab(reinforced with T10 @200 C/C BW) on top of compacted earth. And 200mm high 100∅ SS rail with vertical support of 150∅ SS posts @1000 C/C fixed to ramp floor</t>
  </si>
  <si>
    <t>4.2.0</t>
  </si>
  <si>
    <t>4.2.1</t>
  </si>
  <si>
    <t>4.2.2</t>
  </si>
  <si>
    <t>4.2.3</t>
  </si>
  <si>
    <t>Lift lobby</t>
  </si>
  <si>
    <t xml:space="preserve">Fixed glass / cladding 
with aluminum frame
</t>
  </si>
  <si>
    <t>Painting exterior surfaces of External Wall,</t>
  </si>
  <si>
    <t>Painting interior surfaces Wall,</t>
  </si>
  <si>
    <t>Railing  - Ramp</t>
  </si>
  <si>
    <t xml:space="preserve">Supply, Fabrication and Fixing S.S.Railing -Ramp as per details </t>
  </si>
  <si>
    <t>BILL No: 07 - PAINTING</t>
  </si>
  <si>
    <t>8.2</t>
  </si>
  <si>
    <t>8.2.1</t>
  </si>
  <si>
    <t>BILL No: 08  -  METAL WORK</t>
  </si>
  <si>
    <t>9.2.1</t>
  </si>
  <si>
    <t>Supply and Installation of STELCO approved  Panel board to the lift with connection to the building main grid</t>
  </si>
  <si>
    <t>ELECTRIC BOARDS &amp; CONNECTION</t>
  </si>
  <si>
    <t>9.2.2</t>
  </si>
  <si>
    <t>9.2.3</t>
  </si>
  <si>
    <t>9.3.0</t>
  </si>
  <si>
    <t>9.3.1</t>
  </si>
  <si>
    <t>9.3.2</t>
  </si>
  <si>
    <t>9.4.0</t>
  </si>
  <si>
    <t>9.4.1</t>
  </si>
  <si>
    <t>9.4.2</t>
  </si>
  <si>
    <t>BILL No: 09 - ELECTRICAL INSTALLATIONS</t>
  </si>
  <si>
    <t>a) Rates shall include for: screws, nails, bolts, nuts, standard cable fixing or supporting clips, brackets, straps, rivets, plugs and all incidental accessories.</t>
  </si>
  <si>
    <t>b) Rate shall include for electrical conduits, fittings, equipment and similar all fixings</t>
  </si>
  <si>
    <t>c) Rate shall include for all necessary electrical wiring and accessaries required for completion of lift installation.</t>
  </si>
  <si>
    <t>LIFT</t>
  </si>
  <si>
    <t>LIFT &amp; INSTALLATION</t>
  </si>
  <si>
    <t>BILL No: 10 - FIRE FIGHTING SYSTEM</t>
  </si>
  <si>
    <t>BILL No: 11 - ADDITIONS</t>
  </si>
  <si>
    <t>BILL No: 12 - OMISSIONS</t>
  </si>
  <si>
    <t>PROPOSED LIFT &amp; RAMP AT KALAAFAAN SCHOOL</t>
  </si>
  <si>
    <t>PROJECT: PROPOSED LIFT &amp; RAMP AT KALAAFAAN SCHOOL</t>
  </si>
  <si>
    <t>Supply and installation of Complete Lift (Machine room less,Passenger elevator, capacity 6 person), serving all levels ( groun,1st floor and 2nd floor) as per manufacturer's instructions.</t>
  </si>
  <si>
    <t>13A Power Socket in Weatherproof Polycarbonate Enclosure</t>
  </si>
  <si>
    <t>15A Socket In Polycarbonate Box</t>
  </si>
  <si>
    <r>
      <t>1.5mm</t>
    </r>
    <r>
      <rPr>
        <vertAlign val="superscript"/>
        <sz val="9"/>
        <rFont val="Times New Roman"/>
        <family val="1"/>
      </rPr>
      <t>2</t>
    </r>
    <r>
      <rPr>
        <sz val="9"/>
        <rFont val="Times New Roman"/>
        <family val="1"/>
      </rPr>
      <t xml:space="preserve">  Wiring to Light Points</t>
    </r>
  </si>
  <si>
    <t>PROJECT : PROPOSED LIFT &amp; RAMP AT KALAAFAANU SCHOOL</t>
  </si>
  <si>
    <t>4 )</t>
  </si>
  <si>
    <t>Wiring to Lift Panel board as specified by lift manufacturer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</si>
</sst>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_(* #,##0.0_);_(* \(#,##0.0\);_(* &quot;-&quot;??_);_(@_)"/>
    <numFmt numFmtId="166" formatCode="_(* #,##0.000_);_(* \(#,##0.000\);_(* &quot;-&quot;???_);_(@_)"/>
  </numFmts>
  <fonts count="33" x14ac:knownFonts="1">
    <font>
      <sz val="11"/>
      <color theme="1"/>
      <name val="Calibri"/>
      <family val="2"/>
      <scheme val="minor"/>
    </font>
    <font>
      <sz val="11"/>
      <color theme="1"/>
      <name val="Calibri"/>
      <family val="2"/>
      <scheme val="minor"/>
    </font>
    <font>
      <sz val="10"/>
      <name val="Arial"/>
      <family val="2"/>
    </font>
    <font>
      <sz val="10"/>
      <name val="Times New Roman"/>
      <family val="1"/>
    </font>
    <font>
      <b/>
      <u/>
      <sz val="14"/>
      <name val="Times New Roman"/>
      <family val="1"/>
    </font>
    <font>
      <b/>
      <u/>
      <sz val="12"/>
      <name val="Times New Roman"/>
      <family val="1"/>
    </font>
    <font>
      <b/>
      <sz val="14"/>
      <name val="Times New Roman"/>
      <family val="1"/>
    </font>
    <font>
      <b/>
      <sz val="11"/>
      <name val="Times New Roman"/>
      <family val="1"/>
    </font>
    <font>
      <sz val="12"/>
      <name val="Times New Roman"/>
      <family val="1"/>
    </font>
    <font>
      <b/>
      <sz val="12"/>
      <name val="Times New Roman"/>
      <family val="1"/>
    </font>
    <font>
      <sz val="9"/>
      <color theme="1"/>
      <name val="Times New Roman"/>
      <family val="1"/>
    </font>
    <font>
      <sz val="9"/>
      <name val="Times New Roman"/>
      <family val="1"/>
    </font>
    <font>
      <b/>
      <u/>
      <sz val="9"/>
      <name val="Times New Roman"/>
      <family val="1"/>
    </font>
    <font>
      <b/>
      <sz val="9"/>
      <name val="Times New Roman"/>
      <family val="1"/>
    </font>
    <font>
      <u/>
      <sz val="9"/>
      <name val="Times New Roman"/>
      <family val="1"/>
    </font>
    <font>
      <vertAlign val="superscript"/>
      <sz val="9"/>
      <color theme="1"/>
      <name val="Times New Roman"/>
      <family val="1"/>
    </font>
    <font>
      <b/>
      <sz val="9"/>
      <color theme="1"/>
      <name val="Times New Roman"/>
      <family val="1"/>
    </font>
    <font>
      <b/>
      <u/>
      <sz val="9"/>
      <color theme="1"/>
      <name val="Times New Roman"/>
      <family val="1"/>
    </font>
    <font>
      <vertAlign val="superscript"/>
      <sz val="9"/>
      <name val="Times New Roman"/>
      <family val="1"/>
    </font>
    <font>
      <b/>
      <u/>
      <sz val="12"/>
      <color theme="1"/>
      <name val="Times New Roman"/>
      <family val="1"/>
    </font>
    <font>
      <b/>
      <sz val="9"/>
      <color rgb="FFFF0000"/>
      <name val="Times New Roman"/>
      <family val="1"/>
    </font>
    <font>
      <b/>
      <sz val="9"/>
      <color indexed="9"/>
      <name val="Times New Roman"/>
      <family val="1"/>
    </font>
    <font>
      <b/>
      <u/>
      <sz val="10"/>
      <name val="Times New Roman"/>
      <family val="1"/>
    </font>
    <font>
      <vertAlign val="superscript"/>
      <sz val="10"/>
      <name val="Times New Roman"/>
      <family val="1"/>
    </font>
    <font>
      <b/>
      <sz val="10"/>
      <name val="Times New Roman"/>
      <family val="1"/>
    </font>
    <font>
      <u/>
      <sz val="10"/>
      <name val="Times New Roman"/>
      <family val="1"/>
    </font>
    <font>
      <b/>
      <sz val="22"/>
      <color theme="5"/>
      <name val="Arial Black"/>
      <family val="2"/>
    </font>
    <font>
      <sz val="11"/>
      <color theme="1"/>
      <name val="Arial Black"/>
      <family val="2"/>
    </font>
    <font>
      <b/>
      <sz val="22"/>
      <color rgb="FFFF0000"/>
      <name val="Arial Black"/>
      <family val="2"/>
    </font>
    <font>
      <b/>
      <u/>
      <sz val="11"/>
      <color theme="1"/>
      <name val="Arial Black"/>
      <family val="2"/>
    </font>
    <font>
      <b/>
      <sz val="11"/>
      <color theme="1"/>
      <name val="Arial Black"/>
      <family val="2"/>
    </font>
    <font>
      <sz val="10"/>
      <name val="Calibri"/>
      <family val="2"/>
      <scheme val="minor"/>
    </font>
    <font>
      <sz val="20"/>
      <color theme="1"/>
      <name val="Arial Black"/>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3" tint="0.59999389629810485"/>
        <bgColor indexed="64"/>
      </patternFill>
    </fill>
  </fills>
  <borders count="55">
    <border>
      <left/>
      <right/>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thin">
        <color indexed="64"/>
      </left>
      <right style="double">
        <color indexed="64"/>
      </right>
      <top style="double">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double">
        <color indexed="64"/>
      </right>
      <top style="dashed">
        <color indexed="64"/>
      </top>
      <bottom style="double">
        <color indexed="64"/>
      </bottom>
      <diagonal/>
    </border>
    <border>
      <left style="thin">
        <color auto="1"/>
      </left>
      <right/>
      <top/>
      <bottom/>
      <diagonal/>
    </border>
    <border>
      <left style="hair">
        <color auto="1"/>
      </left>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bottom style="medium">
        <color auto="1"/>
      </bottom>
      <diagonal/>
    </border>
    <border>
      <left style="hair">
        <color indexed="64"/>
      </left>
      <right style="hair">
        <color indexed="64"/>
      </right>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hair">
        <color auto="1"/>
      </right>
      <top style="medium">
        <color auto="1"/>
      </top>
      <bottom/>
      <diagonal/>
    </border>
    <border>
      <left style="medium">
        <color auto="1"/>
      </left>
      <right style="hair">
        <color auto="1"/>
      </right>
      <top/>
      <bottom style="medium">
        <color auto="1"/>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right style="medium">
        <color auto="1"/>
      </right>
      <top/>
      <bottom style="medium">
        <color auto="1"/>
      </bottom>
      <diagonal/>
    </border>
    <border>
      <left style="hair">
        <color auto="1"/>
      </left>
      <right style="medium">
        <color auto="1"/>
      </right>
      <top/>
      <bottom style="medium">
        <color auto="1"/>
      </bottom>
      <diagonal/>
    </border>
    <border>
      <left/>
      <right style="medium">
        <color auto="1"/>
      </right>
      <top style="medium">
        <color auto="1"/>
      </top>
      <bottom/>
      <diagonal/>
    </border>
    <border>
      <left style="hair">
        <color auto="1"/>
      </left>
      <right style="medium">
        <color auto="1"/>
      </right>
      <top style="medium">
        <color auto="1"/>
      </top>
      <bottom/>
      <diagonal/>
    </border>
    <border>
      <left style="hair">
        <color auto="1"/>
      </left>
      <right/>
      <top style="medium">
        <color auto="1"/>
      </top>
      <bottom/>
      <diagonal/>
    </border>
    <border>
      <left style="hair">
        <color auto="1"/>
      </left>
      <right/>
      <top/>
      <bottom style="medium">
        <color auto="1"/>
      </bottom>
      <diagonal/>
    </border>
  </borders>
  <cellStyleXfs count="4">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cellStyleXfs>
  <cellXfs count="336">
    <xf numFmtId="0" fontId="0" fillId="0" borderId="0" xfId="0"/>
    <xf numFmtId="49" fontId="3" fillId="2" borderId="6" xfId="0" applyNumberFormat="1" applyFont="1" applyFill="1" applyBorder="1"/>
    <xf numFmtId="0" fontId="3" fillId="2" borderId="6" xfId="0" applyFont="1" applyFill="1" applyBorder="1"/>
    <xf numFmtId="43" fontId="3" fillId="2" borderId="6" xfId="1" applyFont="1" applyFill="1" applyBorder="1"/>
    <xf numFmtId="49" fontId="6" fillId="2" borderId="7" xfId="0" applyNumberFormat="1" applyFont="1" applyFill="1" applyBorder="1"/>
    <xf numFmtId="0" fontId="6" fillId="2" borderId="8" xfId="0" applyFont="1" applyFill="1" applyBorder="1" applyAlignment="1">
      <alignment horizontal="center"/>
    </xf>
    <xf numFmtId="0" fontId="6" fillId="2" borderId="9" xfId="0" applyFont="1" applyFill="1" applyBorder="1" applyAlignment="1">
      <alignment horizontal="center"/>
    </xf>
    <xf numFmtId="49" fontId="7" fillId="2" borderId="10" xfId="0" applyNumberFormat="1" applyFont="1" applyFill="1" applyBorder="1" applyAlignment="1">
      <alignment horizontal="center"/>
    </xf>
    <xf numFmtId="0" fontId="7" fillId="2" borderId="11" xfId="0" applyFont="1" applyFill="1" applyBorder="1" applyAlignment="1">
      <alignment horizontal="left"/>
    </xf>
    <xf numFmtId="43" fontId="7" fillId="2" borderId="12" xfId="1" applyFont="1" applyFill="1" applyBorder="1" applyAlignment="1">
      <alignment horizontal="center"/>
    </xf>
    <xf numFmtId="49" fontId="7" fillId="2" borderId="13" xfId="0" applyNumberFormat="1" applyFont="1" applyFill="1" applyBorder="1" applyAlignment="1">
      <alignment horizontal="center"/>
    </xf>
    <xf numFmtId="0" fontId="7" fillId="2" borderId="14" xfId="0" applyFont="1" applyFill="1" applyBorder="1" applyAlignment="1">
      <alignment horizontal="left"/>
    </xf>
    <xf numFmtId="43" fontId="7" fillId="2" borderId="15" xfId="1" applyFont="1" applyFill="1" applyBorder="1" applyAlignment="1">
      <alignment horizontal="center"/>
    </xf>
    <xf numFmtId="49" fontId="8" fillId="2" borderId="16" xfId="0" applyNumberFormat="1" applyFont="1" applyFill="1" applyBorder="1"/>
    <xf numFmtId="0" fontId="8" fillId="2" borderId="17" xfId="0" applyFont="1" applyFill="1" applyBorder="1"/>
    <xf numFmtId="0" fontId="9" fillId="2" borderId="18" xfId="0" applyFont="1" applyFill="1" applyBorder="1" applyAlignment="1">
      <alignment horizontal="center"/>
    </xf>
    <xf numFmtId="0" fontId="10" fillId="0" borderId="0" xfId="0" applyFont="1"/>
    <xf numFmtId="0" fontId="10" fillId="0" borderId="0" xfId="0" applyFont="1" applyAlignment="1">
      <alignment horizontal="center"/>
    </xf>
    <xf numFmtId="43" fontId="10" fillId="0" borderId="0" xfId="1" applyNumberFormat="1" applyFont="1"/>
    <xf numFmtId="0" fontId="10" fillId="0" borderId="0" xfId="0" applyFont="1" applyAlignment="1">
      <alignment horizontal="center" vertical="center"/>
    </xf>
    <xf numFmtId="43" fontId="11" fillId="3" borderId="1" xfId="1" applyNumberFormat="1" applyFont="1" applyFill="1" applyBorder="1" applyAlignment="1">
      <alignment horizontal="center"/>
    </xf>
    <xf numFmtId="43" fontId="10" fillId="0" borderId="0" xfId="0" applyNumberFormat="1" applyFont="1" applyAlignment="1">
      <alignment horizontal="center" vertical="center"/>
    </xf>
    <xf numFmtId="0" fontId="10" fillId="0" borderId="1" xfId="0" applyFont="1" applyBorder="1" applyAlignment="1">
      <alignment horizontal="center"/>
    </xf>
    <xf numFmtId="43" fontId="10" fillId="0" borderId="1" xfId="1" applyNumberFormat="1" applyFont="1" applyBorder="1"/>
    <xf numFmtId="43" fontId="10" fillId="0" borderId="0" xfId="0" applyNumberFormat="1" applyFont="1"/>
    <xf numFmtId="0" fontId="16" fillId="0" borderId="0" xfId="0" applyFont="1"/>
    <xf numFmtId="0" fontId="10" fillId="0" borderId="1" xfId="0" applyFont="1" applyBorder="1"/>
    <xf numFmtId="166" fontId="10" fillId="0" borderId="0" xfId="0" applyNumberFormat="1" applyFont="1"/>
    <xf numFmtId="0" fontId="10" fillId="0" borderId="0" xfId="0" applyFont="1" applyAlignment="1">
      <alignment vertical="top"/>
    </xf>
    <xf numFmtId="49" fontId="10" fillId="0" borderId="0" xfId="0" applyNumberFormat="1" applyFont="1"/>
    <xf numFmtId="0" fontId="10" fillId="3" borderId="0" xfId="0" applyFont="1" applyFill="1"/>
    <xf numFmtId="0" fontId="10" fillId="0" borderId="4" xfId="0" applyFont="1" applyBorder="1" applyAlignment="1">
      <alignment horizontal="center" vertical="center"/>
    </xf>
    <xf numFmtId="43" fontId="10" fillId="0" borderId="4" xfId="0" applyNumberFormat="1" applyFont="1" applyBorder="1" applyAlignment="1">
      <alignment horizontal="center" vertical="center"/>
    </xf>
    <xf numFmtId="0" fontId="17" fillId="6" borderId="1" xfId="0" applyFont="1" applyFill="1" applyBorder="1"/>
    <xf numFmtId="43" fontId="16" fillId="6" borderId="1" xfId="1" applyNumberFormat="1" applyFont="1" applyFill="1" applyBorder="1"/>
    <xf numFmtId="0" fontId="0" fillId="0" borderId="0" xfId="0" applyAlignment="1">
      <alignment vertical="center"/>
    </xf>
    <xf numFmtId="43" fontId="16" fillId="0" borderId="1" xfId="1" applyNumberFormat="1" applyFont="1" applyBorder="1"/>
    <xf numFmtId="0" fontId="16" fillId="0" borderId="0" xfId="0" applyFont="1" applyAlignment="1">
      <alignment horizontal="center" vertical="center"/>
    </xf>
    <xf numFmtId="0" fontId="20" fillId="0" borderId="0" xfId="0" applyFont="1" applyAlignment="1">
      <alignment horizontal="center" vertical="center"/>
    </xf>
    <xf numFmtId="164" fontId="10" fillId="0" borderId="0" xfId="0" applyNumberFormat="1" applyFont="1"/>
    <xf numFmtId="0" fontId="10" fillId="0" borderId="0" xfId="0" applyFont="1" applyAlignment="1"/>
    <xf numFmtId="164" fontId="0" fillId="0" borderId="0" xfId="0" applyNumberFormat="1"/>
    <xf numFmtId="0" fontId="0" fillId="0" borderId="2" xfId="0" applyBorder="1" applyAlignment="1"/>
    <xf numFmtId="49" fontId="10" fillId="0" borderId="3" xfId="0" applyNumberFormat="1" applyFont="1" applyBorder="1" applyAlignment="1">
      <alignment horizontal="center" vertical="center"/>
    </xf>
    <xf numFmtId="49" fontId="10" fillId="0" borderId="19" xfId="0" applyNumberFormat="1" applyFont="1" applyBorder="1" applyAlignment="1">
      <alignment horizontal="center" vertical="center"/>
    </xf>
    <xf numFmtId="0" fontId="10" fillId="0" borderId="0" xfId="0" applyFont="1" applyAlignment="1">
      <alignment horizontal="center" vertical="top"/>
    </xf>
    <xf numFmtId="164" fontId="10" fillId="0" borderId="0" xfId="0" applyNumberFormat="1" applyFont="1" applyAlignment="1">
      <alignment horizontal="center" vertical="center"/>
    </xf>
    <xf numFmtId="43" fontId="10" fillId="0" borderId="0" xfId="0" applyNumberFormat="1" applyFont="1" applyAlignment="1"/>
    <xf numFmtId="0" fontId="11" fillId="2" borderId="1" xfId="2" applyNumberFormat="1" applyFont="1" applyFill="1" applyBorder="1" applyAlignment="1">
      <alignment horizontal="left" wrapText="1"/>
    </xf>
    <xf numFmtId="164" fontId="10" fillId="0" borderId="0" xfId="0" applyNumberFormat="1" applyFont="1" applyAlignment="1"/>
    <xf numFmtId="0" fontId="27" fillId="0" borderId="0" xfId="0" applyFont="1"/>
    <xf numFmtId="0" fontId="30" fillId="0" borderId="0" xfId="0" applyFont="1" applyAlignment="1">
      <alignment horizontal="center"/>
    </xf>
    <xf numFmtId="49" fontId="11" fillId="2" borderId="3" xfId="2" applyNumberFormat="1" applyFont="1" applyFill="1" applyBorder="1" applyAlignment="1">
      <alignment horizontal="center" vertical="justify"/>
    </xf>
    <xf numFmtId="0" fontId="12" fillId="2" borderId="4" xfId="2" applyNumberFormat="1" applyFont="1" applyFill="1" applyBorder="1" applyAlignment="1">
      <alignment horizontal="center" vertical="top"/>
    </xf>
    <xf numFmtId="43" fontId="11" fillId="2" borderId="4" xfId="2" applyFont="1" applyFill="1" applyBorder="1" applyAlignment="1">
      <alignment horizontal="center"/>
    </xf>
    <xf numFmtId="43" fontId="11" fillId="3" borderId="4" xfId="1" applyNumberFormat="1" applyFont="1" applyFill="1" applyBorder="1" applyAlignment="1">
      <alignment horizontal="center"/>
    </xf>
    <xf numFmtId="0" fontId="11" fillId="2" borderId="4" xfId="2" quotePrefix="1" applyNumberFormat="1" applyFont="1" applyFill="1" applyBorder="1" applyAlignment="1">
      <alignment vertical="top" wrapText="1"/>
    </xf>
    <xf numFmtId="0" fontId="11" fillId="2" borderId="4" xfId="2" quotePrefix="1" applyNumberFormat="1" applyFont="1" applyFill="1" applyBorder="1" applyAlignment="1">
      <alignment vertical="top"/>
    </xf>
    <xf numFmtId="0" fontId="11" fillId="2" borderId="20" xfId="2" quotePrefix="1" applyNumberFormat="1" applyFont="1" applyFill="1" applyBorder="1" applyAlignment="1">
      <alignment vertical="top" wrapText="1"/>
    </xf>
    <xf numFmtId="49" fontId="11" fillId="2" borderId="3" xfId="2" applyNumberFormat="1" applyFont="1" applyFill="1" applyBorder="1" applyAlignment="1">
      <alignment horizontal="center" vertical="top"/>
    </xf>
    <xf numFmtId="0" fontId="12" fillId="2" borderId="4" xfId="2" applyNumberFormat="1" applyFont="1" applyFill="1" applyBorder="1" applyAlignment="1">
      <alignment horizontal="justify" vertical="top"/>
    </xf>
    <xf numFmtId="43" fontId="11" fillId="2" borderId="4" xfId="2" applyFont="1" applyFill="1" applyBorder="1" applyAlignment="1">
      <alignment horizontal="center" vertical="top"/>
    </xf>
    <xf numFmtId="43" fontId="11" fillId="3" borderId="4" xfId="1" applyNumberFormat="1" applyFont="1" applyFill="1" applyBorder="1" applyAlignment="1">
      <alignment horizontal="center" vertical="top"/>
    </xf>
    <xf numFmtId="0" fontId="11" fillId="2" borderId="4" xfId="2" applyNumberFormat="1" applyFont="1" applyFill="1" applyBorder="1" applyAlignment="1">
      <alignment horizontal="left" vertical="top" wrapText="1"/>
    </xf>
    <xf numFmtId="0" fontId="17" fillId="6" borderId="4" xfId="0" applyFont="1" applyFill="1" applyBorder="1" applyAlignment="1">
      <alignment wrapText="1"/>
    </xf>
    <xf numFmtId="0" fontId="16" fillId="6" borderId="4" xfId="0" applyFont="1" applyFill="1" applyBorder="1" applyAlignment="1">
      <alignment horizontal="center"/>
    </xf>
    <xf numFmtId="43" fontId="16" fillId="6" borderId="4" xfId="1" applyNumberFormat="1" applyFont="1" applyFill="1" applyBorder="1"/>
    <xf numFmtId="49" fontId="10" fillId="0" borderId="3" xfId="0" applyNumberFormat="1" applyFont="1" applyBorder="1"/>
    <xf numFmtId="0" fontId="10" fillId="0" borderId="4" xfId="0" applyFont="1" applyBorder="1" applyAlignment="1">
      <alignment wrapText="1"/>
    </xf>
    <xf numFmtId="0" fontId="10" fillId="0" borderId="4" xfId="0" applyFont="1" applyBorder="1" applyAlignment="1">
      <alignment horizontal="center"/>
    </xf>
    <xf numFmtId="43" fontId="10" fillId="0" borderId="4" xfId="1" applyNumberFormat="1" applyFont="1" applyBorder="1"/>
    <xf numFmtId="0" fontId="17" fillId="0" borderId="4" xfId="0" applyFont="1" applyBorder="1" applyAlignment="1">
      <alignment wrapText="1"/>
    </xf>
    <xf numFmtId="0" fontId="16" fillId="0" borderId="4" xfId="0" applyFont="1" applyBorder="1" applyAlignment="1">
      <alignment horizontal="center"/>
    </xf>
    <xf numFmtId="43" fontId="16" fillId="0" borderId="4" xfId="1" applyNumberFormat="1" applyFont="1" applyBorder="1"/>
    <xf numFmtId="0" fontId="11" fillId="2" borderId="4" xfId="2" applyNumberFormat="1" applyFont="1" applyFill="1" applyBorder="1" applyAlignment="1">
      <alignment vertical="top" wrapText="1"/>
    </xf>
    <xf numFmtId="49" fontId="11" fillId="2" borderId="3" xfId="2" applyNumberFormat="1" applyFont="1" applyFill="1" applyBorder="1" applyAlignment="1">
      <alignment horizontal="center"/>
    </xf>
    <xf numFmtId="0" fontId="12" fillId="2" borderId="4" xfId="2" applyNumberFormat="1" applyFont="1" applyFill="1" applyBorder="1" applyAlignment="1">
      <alignment horizontal="center"/>
    </xf>
    <xf numFmtId="43" fontId="13" fillId="2" borderId="4" xfId="2" applyFont="1" applyFill="1" applyBorder="1" applyAlignment="1">
      <alignment horizontal="center"/>
    </xf>
    <xf numFmtId="43" fontId="13" fillId="3" borderId="4" xfId="1" applyNumberFormat="1" applyFont="1" applyFill="1" applyBorder="1" applyAlignment="1">
      <alignment horizontal="center"/>
    </xf>
    <xf numFmtId="0" fontId="12" fillId="2" borderId="4" xfId="2" applyNumberFormat="1" applyFont="1" applyFill="1" applyBorder="1" applyAlignment="1">
      <alignment horizontal="left"/>
    </xf>
    <xf numFmtId="0" fontId="11" fillId="2" borderId="4" xfId="2" quotePrefix="1" applyNumberFormat="1" applyFont="1" applyFill="1" applyBorder="1" applyAlignment="1">
      <alignment wrapText="1"/>
    </xf>
    <xf numFmtId="0" fontId="11" fillId="2" borderId="4" xfId="2" quotePrefix="1" applyNumberFormat="1" applyFont="1" applyFill="1" applyBorder="1" applyAlignment="1"/>
    <xf numFmtId="0" fontId="12" fillId="2" borderId="4" xfId="2" applyNumberFormat="1" applyFont="1" applyFill="1" applyBorder="1" applyAlignment="1">
      <alignment horizontal="justify"/>
    </xf>
    <xf numFmtId="0" fontId="11" fillId="2" borderId="4" xfId="2" applyNumberFormat="1" applyFont="1" applyFill="1" applyBorder="1" applyAlignment="1">
      <alignment horizontal="justify"/>
    </xf>
    <xf numFmtId="43" fontId="11" fillId="3" borderId="4" xfId="2" applyNumberFormat="1" applyFont="1" applyFill="1" applyBorder="1" applyAlignment="1">
      <alignment horizontal="center"/>
    </xf>
    <xf numFmtId="0" fontId="11" fillId="2" borderId="3" xfId="2" quotePrefix="1" applyNumberFormat="1" applyFont="1" applyFill="1" applyBorder="1" applyAlignment="1">
      <alignment vertical="justify"/>
    </xf>
    <xf numFmtId="0" fontId="11" fillId="2" borderId="4" xfId="2" quotePrefix="1" applyNumberFormat="1" applyFont="1" applyFill="1" applyBorder="1" applyAlignment="1">
      <alignment vertical="justify"/>
    </xf>
    <xf numFmtId="0" fontId="14" fillId="2" borderId="4" xfId="2" quotePrefix="1" applyNumberFormat="1" applyFont="1" applyFill="1" applyBorder="1" applyAlignment="1">
      <alignment horizontal="left" vertical="top"/>
    </xf>
    <xf numFmtId="0" fontId="11" fillId="2" borderId="4" xfId="2" applyNumberFormat="1" applyFont="1" applyFill="1" applyBorder="1" applyAlignment="1">
      <alignment horizontal="left" wrapText="1"/>
    </xf>
    <xf numFmtId="0" fontId="12" fillId="2" borderId="4" xfId="2" applyNumberFormat="1" applyFont="1" applyFill="1" applyBorder="1" applyAlignment="1">
      <alignment horizontal="left" vertical="top" wrapText="1"/>
    </xf>
    <xf numFmtId="0" fontId="11" fillId="2" borderId="4" xfId="2" applyNumberFormat="1" applyFont="1" applyFill="1" applyBorder="1" applyAlignment="1">
      <alignment vertical="top"/>
    </xf>
    <xf numFmtId="0" fontId="11" fillId="2" borderId="4" xfId="2" quotePrefix="1" applyNumberFormat="1" applyFont="1" applyFill="1" applyBorder="1" applyAlignment="1">
      <alignment horizontal="justify" vertical="top"/>
    </xf>
    <xf numFmtId="0" fontId="10" fillId="0" borderId="0" xfId="0" applyFont="1" applyBorder="1"/>
    <xf numFmtId="0" fontId="11" fillId="2" borderId="4" xfId="2" applyNumberFormat="1" applyFont="1" applyFill="1" applyBorder="1" applyAlignment="1">
      <alignment wrapText="1"/>
    </xf>
    <xf numFmtId="49" fontId="11" fillId="2" borderId="4" xfId="2" applyNumberFormat="1" applyFont="1" applyFill="1" applyBorder="1" applyAlignment="1">
      <alignment horizontal="center"/>
    </xf>
    <xf numFmtId="0" fontId="10" fillId="6" borderId="4" xfId="0" applyFont="1" applyFill="1" applyBorder="1" applyAlignment="1">
      <alignment horizontal="center"/>
    </xf>
    <xf numFmtId="43" fontId="10" fillId="6" borderId="4" xfId="1" applyNumberFormat="1" applyFont="1" applyFill="1" applyBorder="1"/>
    <xf numFmtId="0" fontId="17" fillId="3" borderId="4" xfId="0" applyFont="1" applyFill="1" applyBorder="1" applyAlignment="1">
      <alignment wrapText="1"/>
    </xf>
    <xf numFmtId="0" fontId="16" fillId="3" borderId="4" xfId="0" applyFont="1" applyFill="1" applyBorder="1" applyAlignment="1">
      <alignment horizontal="center"/>
    </xf>
    <xf numFmtId="43" fontId="16" fillId="3" borderId="4" xfId="1" applyNumberFormat="1" applyFont="1" applyFill="1" applyBorder="1"/>
    <xf numFmtId="49" fontId="10" fillId="3" borderId="3" xfId="0" applyNumberFormat="1" applyFont="1" applyFill="1" applyBorder="1"/>
    <xf numFmtId="0" fontId="10" fillId="3" borderId="4" xfId="0" applyFont="1" applyFill="1" applyBorder="1" applyAlignment="1">
      <alignment horizontal="center"/>
    </xf>
    <xf numFmtId="49" fontId="10" fillId="0" borderId="3" xfId="0" applyNumberFormat="1" applyFont="1" applyBorder="1" applyAlignment="1">
      <alignment vertical="top"/>
    </xf>
    <xf numFmtId="43" fontId="11" fillId="3" borderId="4" xfId="1" applyFont="1" applyFill="1" applyBorder="1" applyAlignment="1">
      <alignment horizontal="center"/>
    </xf>
    <xf numFmtId="0" fontId="16" fillId="0" borderId="4" xfId="0" applyFont="1" applyBorder="1" applyAlignment="1">
      <alignment wrapText="1"/>
    </xf>
    <xf numFmtId="49" fontId="10" fillId="0" borderId="21" xfId="0" applyNumberFormat="1" applyFont="1" applyBorder="1"/>
    <xf numFmtId="0" fontId="12" fillId="2" borderId="4" xfId="2" quotePrefix="1" applyNumberFormat="1" applyFont="1" applyFill="1" applyBorder="1" applyAlignment="1">
      <alignment horizontal="center"/>
    </xf>
    <xf numFmtId="0" fontId="11" fillId="2" borderId="4" xfId="2" applyNumberFormat="1" applyFont="1" applyFill="1" applyBorder="1" applyAlignment="1"/>
    <xf numFmtId="0" fontId="11" fillId="2" borderId="4" xfId="2" applyNumberFormat="1" applyFont="1" applyFill="1" applyBorder="1" applyAlignment="1">
      <alignment horizontal="left"/>
    </xf>
    <xf numFmtId="0" fontId="12" fillId="6" borderId="4" xfId="2" applyNumberFormat="1" applyFont="1" applyFill="1" applyBorder="1" applyAlignment="1">
      <alignment horizontal="left" vertical="top"/>
    </xf>
    <xf numFmtId="43" fontId="11" fillId="6" borderId="4" xfId="2" applyFont="1" applyFill="1" applyBorder="1" applyAlignment="1">
      <alignment horizontal="center"/>
    </xf>
    <xf numFmtId="43" fontId="11" fillId="6" borderId="4" xfId="1" applyNumberFormat="1" applyFont="1" applyFill="1" applyBorder="1" applyAlignment="1">
      <alignment horizontal="center"/>
    </xf>
    <xf numFmtId="0" fontId="11" fillId="0" borderId="4" xfId="3" applyFont="1" applyBorder="1" applyAlignment="1">
      <alignment horizontal="left" wrapText="1"/>
    </xf>
    <xf numFmtId="0" fontId="11" fillId="0" borderId="4" xfId="3" applyFont="1" applyFill="1" applyBorder="1" applyAlignment="1">
      <alignment horizontal="center"/>
    </xf>
    <xf numFmtId="0" fontId="12" fillId="3" borderId="4" xfId="2" quotePrefix="1" applyNumberFormat="1" applyFont="1" applyFill="1" applyBorder="1" applyAlignment="1">
      <alignment horizontal="center"/>
    </xf>
    <xf numFmtId="43" fontId="13" fillId="3" borderId="4" xfId="2" applyFont="1" applyFill="1" applyBorder="1" applyAlignment="1">
      <alignment horizontal="center"/>
    </xf>
    <xf numFmtId="0" fontId="12" fillId="3" borderId="4" xfId="2" applyNumberFormat="1" applyFont="1" applyFill="1" applyBorder="1" applyAlignment="1">
      <alignment horizontal="center"/>
    </xf>
    <xf numFmtId="49" fontId="3" fillId="3" borderId="3" xfId="0" applyNumberFormat="1" applyFont="1" applyFill="1" applyBorder="1" applyAlignment="1">
      <alignment horizontal="center" vertical="center"/>
    </xf>
    <xf numFmtId="0" fontId="22" fillId="3" borderId="4" xfId="0" applyFont="1" applyFill="1" applyBorder="1" applyAlignment="1">
      <alignment vertical="center" wrapText="1"/>
    </xf>
    <xf numFmtId="0" fontId="3" fillId="3" borderId="4" xfId="0" applyFont="1" applyFill="1" applyBorder="1" applyAlignment="1">
      <alignment horizontal="center" vertical="center"/>
    </xf>
    <xf numFmtId="43" fontId="3" fillId="3" borderId="4" xfId="0" applyNumberFormat="1" applyFont="1" applyFill="1" applyBorder="1" applyAlignment="1">
      <alignment horizontal="center" vertical="center"/>
    </xf>
    <xf numFmtId="49" fontId="3" fillId="6" borderId="3" xfId="0" applyNumberFormat="1" applyFont="1" applyFill="1" applyBorder="1" applyAlignment="1">
      <alignment horizontal="center" vertical="center"/>
    </xf>
    <xf numFmtId="0" fontId="22" fillId="6" borderId="4" xfId="0" applyFont="1" applyFill="1" applyBorder="1" applyAlignment="1">
      <alignment vertical="center" wrapText="1"/>
    </xf>
    <xf numFmtId="0" fontId="3" fillId="6" borderId="4" xfId="0" applyFont="1" applyFill="1" applyBorder="1" applyAlignment="1">
      <alignment horizontal="center" vertical="center"/>
    </xf>
    <xf numFmtId="43" fontId="3" fillId="6" borderId="4" xfId="0" applyNumberFormat="1" applyFont="1" applyFill="1" applyBorder="1" applyAlignment="1">
      <alignment horizontal="center" vertical="center"/>
    </xf>
    <xf numFmtId="0" fontId="3" fillId="3" borderId="4" xfId="0" applyFont="1" applyFill="1" applyBorder="1" applyAlignment="1">
      <alignment vertical="center" wrapText="1"/>
    </xf>
    <xf numFmtId="0" fontId="25" fillId="3" borderId="4" xfId="0" applyFont="1" applyFill="1" applyBorder="1" applyAlignment="1">
      <alignment vertical="center" wrapText="1"/>
    </xf>
    <xf numFmtId="0" fontId="11" fillId="3" borderId="4" xfId="2" applyNumberFormat="1" applyFont="1" applyFill="1" applyBorder="1" applyAlignment="1">
      <alignment horizontal="left" wrapText="1"/>
    </xf>
    <xf numFmtId="43" fontId="11" fillId="3" borderId="4" xfId="2" applyFont="1" applyFill="1" applyBorder="1" applyAlignment="1">
      <alignment horizontal="center"/>
    </xf>
    <xf numFmtId="49" fontId="11" fillId="3" borderId="3" xfId="2" applyNumberFormat="1" applyFont="1" applyFill="1" applyBorder="1" applyAlignment="1">
      <alignment horizontal="center" vertical="top"/>
    </xf>
    <xf numFmtId="0" fontId="13" fillId="2" borderId="4" xfId="2" applyNumberFormat="1" applyFont="1" applyFill="1" applyBorder="1" applyAlignment="1">
      <alignment wrapText="1"/>
    </xf>
    <xf numFmtId="0" fontId="12" fillId="2" borderId="4" xfId="2" applyNumberFormat="1" applyFont="1" applyFill="1" applyBorder="1"/>
    <xf numFmtId="0" fontId="17" fillId="0" borderId="4" xfId="0" applyFont="1" applyBorder="1"/>
    <xf numFmtId="0" fontId="17" fillId="6" borderId="4" xfId="0" applyFont="1" applyFill="1" applyBorder="1"/>
    <xf numFmtId="0" fontId="16" fillId="0" borderId="4" xfId="0" applyFont="1" applyBorder="1"/>
    <xf numFmtId="0" fontId="10" fillId="0" borderId="4" xfId="0" applyFont="1" applyBorder="1"/>
    <xf numFmtId="0" fontId="13" fillId="2" borderId="4" xfId="2" quotePrefix="1" applyNumberFormat="1" applyFont="1" applyFill="1" applyBorder="1" applyAlignment="1">
      <alignment horizontal="left"/>
    </xf>
    <xf numFmtId="49" fontId="11" fillId="2" borderId="19" xfId="2" applyNumberFormat="1" applyFont="1" applyFill="1" applyBorder="1" applyAlignment="1">
      <alignment horizontal="center" vertical="justify"/>
    </xf>
    <xf numFmtId="0" fontId="12" fillId="2" borderId="0" xfId="2" quotePrefix="1" applyNumberFormat="1" applyFont="1" applyFill="1" applyBorder="1" applyAlignment="1">
      <alignment horizontal="center"/>
    </xf>
    <xf numFmtId="0" fontId="12" fillId="2" borderId="0" xfId="2" applyNumberFormat="1" applyFont="1" applyFill="1" applyBorder="1" applyAlignment="1">
      <alignment horizontal="center"/>
    </xf>
    <xf numFmtId="0" fontId="12" fillId="2" borderId="0" xfId="2" applyNumberFormat="1" applyFont="1" applyFill="1" applyBorder="1" applyAlignment="1">
      <alignment horizontal="left"/>
    </xf>
    <xf numFmtId="0" fontId="11" fillId="3" borderId="4" xfId="3" applyFont="1" applyFill="1" applyBorder="1" applyAlignment="1">
      <alignment horizontal="center"/>
    </xf>
    <xf numFmtId="0" fontId="12" fillId="5" borderId="4" xfId="2" applyNumberFormat="1" applyFont="1" applyFill="1" applyBorder="1" applyAlignment="1">
      <alignment horizontal="left"/>
    </xf>
    <xf numFmtId="0" fontId="11" fillId="2" borderId="4" xfId="3" applyFont="1" applyFill="1" applyBorder="1" applyAlignment="1">
      <alignment horizontal="left" wrapText="1"/>
    </xf>
    <xf numFmtId="0" fontId="11" fillId="0" borderId="4" xfId="3" applyFont="1" applyBorder="1" applyAlignment="1">
      <alignment horizontal="center"/>
    </xf>
    <xf numFmtId="0" fontId="12" fillId="6" borderId="4" xfId="2" applyNumberFormat="1" applyFont="1" applyFill="1" applyBorder="1" applyAlignment="1">
      <alignment horizontal="left"/>
    </xf>
    <xf numFmtId="0" fontId="11" fillId="6" borderId="4" xfId="2" applyNumberFormat="1" applyFont="1" applyFill="1" applyBorder="1" applyAlignment="1">
      <alignment horizontal="center"/>
    </xf>
    <xf numFmtId="0" fontId="12" fillId="0" borderId="4" xfId="3" applyFont="1" applyFill="1" applyBorder="1" applyAlignment="1">
      <alignment horizontal="left" wrapText="1"/>
    </xf>
    <xf numFmtId="0" fontId="21" fillId="0" borderId="4" xfId="3" applyFont="1" applyFill="1" applyBorder="1" applyAlignment="1">
      <alignment horizontal="center"/>
    </xf>
    <xf numFmtId="43" fontId="21" fillId="3" borderId="4" xfId="1" applyNumberFormat="1" applyFont="1" applyFill="1" applyBorder="1" applyAlignment="1">
      <alignment horizontal="center"/>
    </xf>
    <xf numFmtId="49" fontId="10" fillId="0" borderId="0" xfId="0" applyNumberFormat="1" applyFont="1" applyBorder="1"/>
    <xf numFmtId="49" fontId="11" fillId="2" borderId="3" xfId="2" applyNumberFormat="1" applyFont="1" applyFill="1" applyBorder="1" applyAlignment="1">
      <alignment horizontal="left" vertical="justify"/>
    </xf>
    <xf numFmtId="49" fontId="11" fillId="2" borderId="3" xfId="2" applyNumberFormat="1" applyFont="1" applyFill="1" applyBorder="1" applyAlignment="1">
      <alignment horizontal="left"/>
    </xf>
    <xf numFmtId="0" fontId="12" fillId="7" borderId="4" xfId="2" applyNumberFormat="1" applyFont="1" applyFill="1" applyBorder="1" applyAlignment="1">
      <alignment horizontal="justify"/>
    </xf>
    <xf numFmtId="43" fontId="13" fillId="7" borderId="4" xfId="2" applyFont="1" applyFill="1" applyBorder="1" applyAlignment="1">
      <alignment horizontal="center"/>
    </xf>
    <xf numFmtId="43" fontId="13" fillId="7" borderId="4" xfId="1" applyFont="1" applyFill="1" applyBorder="1" applyAlignment="1">
      <alignment horizontal="center"/>
    </xf>
    <xf numFmtId="0" fontId="22" fillId="3" borderId="4" xfId="0" applyFont="1" applyFill="1" applyBorder="1" applyAlignment="1">
      <alignment vertical="justify" wrapText="1"/>
    </xf>
    <xf numFmtId="49" fontId="3" fillId="3" borderId="3" xfId="0" applyNumberFormat="1" applyFont="1" applyFill="1" applyBorder="1" applyAlignment="1">
      <alignment horizontal="center" vertical="top"/>
    </xf>
    <xf numFmtId="0" fontId="3" fillId="3" borderId="4" xfId="0" applyFont="1" applyFill="1" applyBorder="1" applyAlignment="1">
      <alignment wrapText="1"/>
    </xf>
    <xf numFmtId="0" fontId="3" fillId="3" borderId="4" xfId="0" applyFont="1" applyFill="1" applyBorder="1" applyAlignment="1">
      <alignment horizontal="center"/>
    </xf>
    <xf numFmtId="43" fontId="3" fillId="3" borderId="4" xfId="0" applyNumberFormat="1" applyFont="1" applyFill="1" applyBorder="1" applyAlignment="1">
      <alignment horizontal="center"/>
    </xf>
    <xf numFmtId="0" fontId="3" fillId="3" borderId="4" xfId="0" applyFont="1" applyFill="1" applyBorder="1" applyAlignment="1">
      <alignment vertical="justify" wrapText="1"/>
    </xf>
    <xf numFmtId="0" fontId="24" fillId="3" borderId="4" xfId="0" applyFont="1" applyFill="1" applyBorder="1" applyAlignment="1">
      <alignment horizontal="center" vertical="center"/>
    </xf>
    <xf numFmtId="43" fontId="24" fillId="3" borderId="4" xfId="0" applyNumberFormat="1" applyFont="1" applyFill="1" applyBorder="1" applyAlignment="1">
      <alignment horizontal="center" vertical="center"/>
    </xf>
    <xf numFmtId="165" fontId="11" fillId="2" borderId="3" xfId="1" applyNumberFormat="1" applyFont="1" applyFill="1" applyBorder="1" applyAlignment="1">
      <alignment horizontal="left" vertical="justify"/>
    </xf>
    <xf numFmtId="0" fontId="11" fillId="5" borderId="4" xfId="3" applyFont="1" applyFill="1" applyBorder="1" applyAlignment="1">
      <alignment horizontal="center"/>
    </xf>
    <xf numFmtId="43" fontId="11" fillId="5" borderId="4" xfId="1" applyFont="1" applyFill="1" applyBorder="1" applyAlignment="1">
      <alignment horizontal="center"/>
    </xf>
    <xf numFmtId="0" fontId="13" fillId="0" borderId="4" xfId="3" applyFont="1" applyBorder="1" applyAlignment="1">
      <alignment horizontal="left" wrapText="1"/>
    </xf>
    <xf numFmtId="0" fontId="13" fillId="0" borderId="4" xfId="3" applyFont="1" applyBorder="1" applyAlignment="1">
      <alignment horizontal="center"/>
    </xf>
    <xf numFmtId="43" fontId="13" fillId="3" borderId="4" xfId="1" applyFont="1" applyFill="1" applyBorder="1" applyAlignment="1">
      <alignment horizontal="center"/>
    </xf>
    <xf numFmtId="0" fontId="13" fillId="3" borderId="4" xfId="3" applyFont="1" applyFill="1" applyBorder="1" applyAlignment="1">
      <alignment horizontal="left" wrapText="1"/>
    </xf>
    <xf numFmtId="0" fontId="13" fillId="3" borderId="4" xfId="3" applyFont="1" applyFill="1" applyBorder="1" applyAlignment="1">
      <alignment horizontal="center"/>
    </xf>
    <xf numFmtId="165" fontId="11" fillId="5" borderId="3" xfId="1" applyNumberFormat="1" applyFont="1" applyFill="1" applyBorder="1" applyAlignment="1">
      <alignment horizontal="left" vertical="justify"/>
    </xf>
    <xf numFmtId="165" fontId="11" fillId="3" borderId="3" xfId="1" applyNumberFormat="1" applyFont="1" applyFill="1" applyBorder="1" applyAlignment="1">
      <alignment horizontal="left" vertical="justify"/>
    </xf>
    <xf numFmtId="0" fontId="12" fillId="3" borderId="4" xfId="2" applyNumberFormat="1" applyFont="1" applyFill="1" applyBorder="1" applyAlignment="1">
      <alignment horizontal="left"/>
    </xf>
    <xf numFmtId="0" fontId="13" fillId="2" borderId="24" xfId="2" quotePrefix="1" applyNumberFormat="1" applyFont="1" applyFill="1" applyBorder="1" applyAlignment="1">
      <alignment horizontal="left"/>
    </xf>
    <xf numFmtId="0" fontId="10" fillId="0" borderId="24" xfId="0" applyFont="1" applyBorder="1" applyAlignment="1">
      <alignment horizontal="center"/>
    </xf>
    <xf numFmtId="0" fontId="10" fillId="0" borderId="22" xfId="0" applyFont="1" applyBorder="1" applyAlignment="1">
      <alignment horizontal="center"/>
    </xf>
    <xf numFmtId="43" fontId="10" fillId="0" borderId="22" xfId="1" applyNumberFormat="1" applyFont="1" applyBorder="1"/>
    <xf numFmtId="0" fontId="10" fillId="0" borderId="22" xfId="0" applyFont="1" applyBorder="1" applyAlignment="1">
      <alignment wrapText="1"/>
    </xf>
    <xf numFmtId="49" fontId="11" fillId="2" borderId="22" xfId="2" applyNumberFormat="1" applyFont="1" applyFill="1" applyBorder="1" applyAlignment="1">
      <alignment horizontal="center"/>
    </xf>
    <xf numFmtId="49" fontId="10" fillId="0" borderId="25" xfId="0" applyNumberFormat="1" applyFont="1" applyBorder="1" applyAlignment="1">
      <alignment horizontal="center" vertical="center"/>
    </xf>
    <xf numFmtId="0" fontId="10" fillId="0" borderId="26" xfId="0" applyFont="1" applyBorder="1" applyAlignment="1">
      <alignment horizontal="center" vertical="center"/>
    </xf>
    <xf numFmtId="43" fontId="10" fillId="0" borderId="26" xfId="1" applyNumberFormat="1" applyFont="1" applyBorder="1" applyAlignment="1">
      <alignment horizontal="center" vertical="center"/>
    </xf>
    <xf numFmtId="49" fontId="11" fillId="2" borderId="27" xfId="2" applyNumberFormat="1" applyFont="1" applyFill="1" applyBorder="1" applyAlignment="1">
      <alignment horizontal="center" vertical="justify"/>
    </xf>
    <xf numFmtId="0" fontId="12" fillId="2" borderId="28" xfId="2" quotePrefix="1" applyNumberFormat="1" applyFont="1" applyFill="1" applyBorder="1" applyAlignment="1">
      <alignment horizontal="center"/>
    </xf>
    <xf numFmtId="43" fontId="13" fillId="2" borderId="28" xfId="2" applyFont="1" applyFill="1" applyBorder="1" applyAlignment="1">
      <alignment horizontal="center"/>
    </xf>
    <xf numFmtId="43" fontId="13" fillId="3" borderId="28" xfId="1" applyNumberFormat="1" applyFont="1" applyFill="1" applyBorder="1" applyAlignment="1">
      <alignment horizontal="center"/>
    </xf>
    <xf numFmtId="0" fontId="13" fillId="2" borderId="4" xfId="2" applyNumberFormat="1" applyFont="1" applyFill="1" applyBorder="1" applyAlignment="1">
      <alignment horizontal="left"/>
    </xf>
    <xf numFmtId="49" fontId="11" fillId="2" borderId="3" xfId="2" quotePrefix="1" applyNumberFormat="1" applyFont="1" applyFill="1" applyBorder="1" applyAlignment="1">
      <alignment horizontal="center" vertical="justify"/>
    </xf>
    <xf numFmtId="0" fontId="14" fillId="2" borderId="4" xfId="2" applyNumberFormat="1" applyFont="1" applyFill="1" applyBorder="1" applyAlignment="1">
      <alignment horizontal="left"/>
    </xf>
    <xf numFmtId="0" fontId="11" fillId="2" borderId="4" xfId="2" applyNumberFormat="1" applyFont="1" applyFill="1" applyBorder="1"/>
    <xf numFmtId="0" fontId="14" fillId="2" borderId="4" xfId="2" applyNumberFormat="1" applyFont="1" applyFill="1" applyBorder="1"/>
    <xf numFmtId="0" fontId="12" fillId="2" borderId="4" xfId="2" applyNumberFormat="1" applyFont="1" applyFill="1" applyBorder="1" applyAlignment="1">
      <alignment vertical="top"/>
    </xf>
    <xf numFmtId="49" fontId="11" fillId="2" borderId="29" xfId="2" applyNumberFormat="1" applyFont="1" applyFill="1" applyBorder="1" applyAlignment="1">
      <alignment horizontal="center" vertical="justify"/>
    </xf>
    <xf numFmtId="0" fontId="13" fillId="2" borderId="30" xfId="2" quotePrefix="1" applyNumberFormat="1" applyFont="1" applyFill="1" applyBorder="1" applyAlignment="1">
      <alignment horizontal="left"/>
    </xf>
    <xf numFmtId="0" fontId="11" fillId="3" borderId="30" xfId="3" applyFont="1" applyFill="1" applyBorder="1" applyAlignment="1">
      <alignment horizontal="center"/>
    </xf>
    <xf numFmtId="43" fontId="11" fillId="3" borderId="30" xfId="1" applyNumberFormat="1" applyFont="1" applyFill="1" applyBorder="1" applyAlignment="1">
      <alignment horizontal="center"/>
    </xf>
    <xf numFmtId="49" fontId="11" fillId="2" borderId="31" xfId="2" applyNumberFormat="1" applyFont="1" applyFill="1" applyBorder="1" applyAlignment="1">
      <alignment horizontal="center" vertical="justify"/>
    </xf>
    <xf numFmtId="0" fontId="13" fillId="2" borderId="32" xfId="2" quotePrefix="1" applyNumberFormat="1" applyFont="1" applyFill="1" applyBorder="1" applyAlignment="1">
      <alignment horizontal="left"/>
    </xf>
    <xf numFmtId="0" fontId="11" fillId="4" borderId="32" xfId="3" applyFont="1" applyFill="1" applyBorder="1" applyAlignment="1">
      <alignment horizontal="center"/>
    </xf>
    <xf numFmtId="43" fontId="11" fillId="3" borderId="32" xfId="1" applyNumberFormat="1" applyFont="1" applyFill="1" applyBorder="1" applyAlignment="1">
      <alignment horizontal="center"/>
    </xf>
    <xf numFmtId="43" fontId="11" fillId="2" borderId="30" xfId="2" applyFont="1" applyFill="1" applyBorder="1" applyAlignment="1">
      <alignment horizontal="center"/>
    </xf>
    <xf numFmtId="43" fontId="11" fillId="2" borderId="32" xfId="2" applyFont="1" applyFill="1" applyBorder="1" applyAlignment="1">
      <alignment horizontal="center"/>
    </xf>
    <xf numFmtId="49" fontId="10" fillId="0" borderId="23" xfId="0" applyNumberFormat="1" applyFont="1" applyBorder="1"/>
    <xf numFmtId="0" fontId="10" fillId="0" borderId="24" xfId="0" applyFont="1" applyBorder="1" applyAlignment="1">
      <alignment wrapText="1"/>
    </xf>
    <xf numFmtId="43" fontId="10" fillId="0" borderId="24" xfId="1" applyNumberFormat="1" applyFont="1" applyBorder="1"/>
    <xf numFmtId="49" fontId="11" fillId="2" borderId="24" xfId="2" applyNumberFormat="1" applyFont="1" applyFill="1" applyBorder="1" applyAlignment="1">
      <alignment horizontal="center"/>
    </xf>
    <xf numFmtId="0" fontId="10" fillId="0" borderId="24" xfId="0" applyFont="1" applyBorder="1"/>
    <xf numFmtId="0" fontId="13" fillId="2" borderId="0" xfId="2" quotePrefix="1" applyNumberFormat="1" applyFont="1" applyFill="1" applyBorder="1" applyAlignment="1">
      <alignment horizontal="left"/>
    </xf>
    <xf numFmtId="0" fontId="13" fillId="2" borderId="28" xfId="2" quotePrefix="1" applyNumberFormat="1" applyFont="1" applyFill="1" applyBorder="1" applyAlignment="1">
      <alignment horizontal="left"/>
    </xf>
    <xf numFmtId="43" fontId="13" fillId="2" borderId="24" xfId="2" applyFont="1" applyFill="1" applyBorder="1" applyAlignment="1">
      <alignment horizontal="center"/>
    </xf>
    <xf numFmtId="43" fontId="13" fillId="3" borderId="24" xfId="1" applyNumberFormat="1" applyFont="1" applyFill="1" applyBorder="1" applyAlignment="1">
      <alignment horizontal="center"/>
    </xf>
    <xf numFmtId="49" fontId="11" fillId="2" borderId="33" xfId="2" applyNumberFormat="1" applyFont="1" applyFill="1" applyBorder="1" applyAlignment="1">
      <alignment horizontal="center" vertical="justify"/>
    </xf>
    <xf numFmtId="43" fontId="11" fillId="2" borderId="28" xfId="2" applyFont="1" applyFill="1" applyBorder="1" applyAlignment="1">
      <alignment horizontal="center"/>
    </xf>
    <xf numFmtId="49" fontId="11" fillId="2" borderId="34" xfId="2" applyNumberFormat="1" applyFont="1" applyFill="1" applyBorder="1" applyAlignment="1">
      <alignment horizontal="center" vertical="justify"/>
    </xf>
    <xf numFmtId="43" fontId="11" fillId="2" borderId="24" xfId="2" applyFont="1" applyFill="1" applyBorder="1" applyAlignment="1">
      <alignment horizontal="center"/>
    </xf>
    <xf numFmtId="165" fontId="11" fillId="2" borderId="33" xfId="1" applyNumberFormat="1" applyFont="1" applyFill="1" applyBorder="1" applyAlignment="1">
      <alignment horizontal="left" vertical="justify"/>
    </xf>
    <xf numFmtId="165" fontId="11" fillId="2" borderId="34" xfId="1" applyNumberFormat="1" applyFont="1" applyFill="1" applyBorder="1" applyAlignment="1">
      <alignment horizontal="left" vertical="justify"/>
    </xf>
    <xf numFmtId="49" fontId="3" fillId="2" borderId="35" xfId="0" applyNumberFormat="1" applyFont="1" applyFill="1" applyBorder="1"/>
    <xf numFmtId="0" fontId="9" fillId="2" borderId="36" xfId="0" applyFont="1" applyFill="1" applyBorder="1" applyAlignment="1">
      <alignment horizontal="center"/>
    </xf>
    <xf numFmtId="43" fontId="9" fillId="2" borderId="37" xfId="0" applyNumberFormat="1" applyFont="1" applyFill="1" applyBorder="1" applyAlignment="1">
      <alignment horizontal="center"/>
    </xf>
    <xf numFmtId="49" fontId="3" fillId="2" borderId="38" xfId="0" applyNumberFormat="1" applyFont="1" applyFill="1" applyBorder="1"/>
    <xf numFmtId="0" fontId="9" fillId="2" borderId="39" xfId="0" applyFont="1" applyFill="1" applyBorder="1" applyAlignment="1">
      <alignment horizontal="center"/>
    </xf>
    <xf numFmtId="43" fontId="9" fillId="2" borderId="40" xfId="0" applyNumberFormat="1" applyFont="1" applyFill="1" applyBorder="1" applyAlignment="1">
      <alignment horizontal="center"/>
    </xf>
    <xf numFmtId="49" fontId="3" fillId="2" borderId="41" xfId="0" applyNumberFormat="1" applyFont="1" applyFill="1" applyBorder="1"/>
    <xf numFmtId="0" fontId="9" fillId="2" borderId="42" xfId="0" applyFont="1" applyFill="1" applyBorder="1" applyAlignment="1">
      <alignment horizontal="center"/>
    </xf>
    <xf numFmtId="43" fontId="9" fillId="2" borderId="43" xfId="0" applyNumberFormat="1" applyFont="1" applyFill="1" applyBorder="1" applyAlignment="1">
      <alignment horizontal="center"/>
    </xf>
    <xf numFmtId="0" fontId="0" fillId="0" borderId="44" xfId="0" applyBorder="1"/>
    <xf numFmtId="0" fontId="0" fillId="0" borderId="45" xfId="0" applyBorder="1"/>
    <xf numFmtId="0" fontId="26" fillId="0" borderId="45" xfId="0" applyFont="1" applyBorder="1" applyAlignment="1">
      <alignment horizontal="center"/>
    </xf>
    <xf numFmtId="0" fontId="27" fillId="0" borderId="45" xfId="0" applyFont="1" applyBorder="1"/>
    <xf numFmtId="0" fontId="28" fillId="0" borderId="45" xfId="0" applyFont="1" applyBorder="1" applyAlignment="1">
      <alignment horizontal="center" vertical="center" wrapText="1"/>
    </xf>
    <xf numFmtId="0" fontId="29" fillId="0" borderId="45" xfId="0" applyFont="1" applyBorder="1" applyAlignment="1">
      <alignment horizontal="center"/>
    </xf>
    <xf numFmtId="0" fontId="27" fillId="0" borderId="45" xfId="0" applyFont="1" applyBorder="1" applyAlignment="1">
      <alignment horizontal="center"/>
    </xf>
    <xf numFmtId="165" fontId="11" fillId="0" borderId="4" xfId="1" applyNumberFormat="1" applyFont="1" applyFill="1" applyBorder="1" applyAlignment="1">
      <alignment horizontal="center"/>
    </xf>
    <xf numFmtId="43" fontId="10" fillId="0" borderId="4" xfId="1" applyFont="1" applyFill="1" applyBorder="1" applyAlignment="1">
      <alignment horizontal="center" vertical="center" wrapText="1"/>
    </xf>
    <xf numFmtId="43" fontId="10" fillId="0" borderId="5" xfId="1" applyFont="1" applyFill="1" applyBorder="1" applyAlignment="1">
      <alignment horizontal="center" vertical="center" wrapText="1"/>
    </xf>
    <xf numFmtId="43" fontId="10" fillId="0" borderId="4" xfId="1" applyFont="1" applyFill="1" applyBorder="1"/>
    <xf numFmtId="43" fontId="10" fillId="0" borderId="5" xfId="1" applyFont="1" applyFill="1" applyBorder="1"/>
    <xf numFmtId="0" fontId="11" fillId="0" borderId="4" xfId="2" quotePrefix="1" applyNumberFormat="1" applyFont="1" applyFill="1" applyBorder="1" applyAlignment="1"/>
    <xf numFmtId="0" fontId="11" fillId="0" borderId="5" xfId="2" quotePrefix="1" applyNumberFormat="1" applyFont="1" applyFill="1" applyBorder="1" applyAlignment="1"/>
    <xf numFmtId="165" fontId="10" fillId="0" borderId="4"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165" fontId="10" fillId="0" borderId="4" xfId="1" applyNumberFormat="1" applyFont="1" applyFill="1" applyBorder="1"/>
    <xf numFmtId="0" fontId="11" fillId="0" borderId="4" xfId="2" quotePrefix="1" applyNumberFormat="1" applyFont="1" applyFill="1" applyBorder="1" applyAlignment="1">
      <alignment vertical="justify"/>
    </xf>
    <xf numFmtId="43" fontId="10" fillId="0" borderId="4" xfId="1" applyFont="1" applyFill="1" applyBorder="1" applyAlignment="1"/>
    <xf numFmtId="43" fontId="10" fillId="0" borderId="5" xfId="1" applyFont="1" applyFill="1" applyBorder="1" applyAlignment="1"/>
    <xf numFmtId="0" fontId="11" fillId="0" borderId="4" xfId="2" quotePrefix="1" applyNumberFormat="1" applyFont="1" applyFill="1" applyBorder="1" applyAlignment="1">
      <alignment vertical="top"/>
    </xf>
    <xf numFmtId="0" fontId="11" fillId="0" borderId="4" xfId="2" applyNumberFormat="1" applyFont="1" applyFill="1" applyBorder="1" applyAlignment="1">
      <alignment vertical="top"/>
    </xf>
    <xf numFmtId="0" fontId="11" fillId="0" borderId="5" xfId="2" quotePrefix="1" applyNumberFormat="1" applyFont="1" applyFill="1" applyBorder="1" applyAlignment="1">
      <alignment vertical="top"/>
    </xf>
    <xf numFmtId="165" fontId="11" fillId="0" borderId="4" xfId="1" applyNumberFormat="1" applyFont="1" applyFill="1" applyBorder="1" applyAlignment="1">
      <alignment horizontal="center" vertical="top"/>
    </xf>
    <xf numFmtId="43" fontId="10" fillId="0" borderId="4" xfId="1" applyFont="1" applyFill="1" applyBorder="1" applyAlignment="1">
      <alignment horizontal="center" vertical="top" wrapText="1"/>
    </xf>
    <xf numFmtId="43" fontId="10" fillId="0" borderId="5" xfId="1" applyFont="1" applyFill="1" applyBorder="1" applyAlignment="1">
      <alignment horizontal="center" vertical="top" wrapText="1"/>
    </xf>
    <xf numFmtId="165" fontId="16" fillId="0" borderId="4" xfId="1" applyNumberFormat="1" applyFont="1" applyFill="1" applyBorder="1"/>
    <xf numFmtId="43" fontId="16" fillId="0" borderId="4" xfId="1" applyFont="1" applyFill="1" applyBorder="1"/>
    <xf numFmtId="43" fontId="16" fillId="0" borderId="5" xfId="1" applyFont="1" applyFill="1" applyBorder="1"/>
    <xf numFmtId="43" fontId="11" fillId="0" borderId="4" xfId="1" applyNumberFormat="1" applyFont="1" applyFill="1" applyBorder="1" applyAlignment="1">
      <alignment horizontal="center"/>
    </xf>
    <xf numFmtId="43" fontId="13" fillId="0" borderId="5" xfId="1" applyNumberFormat="1" applyFont="1" applyFill="1" applyBorder="1"/>
    <xf numFmtId="0" fontId="11" fillId="0" borderId="4" xfId="2" applyNumberFormat="1" applyFont="1" applyFill="1" applyBorder="1" applyAlignment="1">
      <alignment vertical="top" wrapText="1"/>
    </xf>
    <xf numFmtId="0" fontId="11" fillId="0" borderId="5" xfId="2" applyNumberFormat="1" applyFont="1" applyFill="1" applyBorder="1" applyAlignment="1">
      <alignment vertical="top" wrapText="1"/>
    </xf>
    <xf numFmtId="0" fontId="11" fillId="0" borderId="4" xfId="2" applyNumberFormat="1" applyFont="1" applyFill="1" applyBorder="1" applyAlignment="1">
      <alignment wrapText="1"/>
    </xf>
    <xf numFmtId="0" fontId="11" fillId="0" borderId="5" xfId="2" applyNumberFormat="1" applyFont="1" applyFill="1" applyBorder="1" applyAlignment="1">
      <alignment wrapText="1"/>
    </xf>
    <xf numFmtId="0" fontId="11" fillId="0" borderId="4" xfId="2" applyNumberFormat="1" applyFont="1" applyFill="1" applyBorder="1" applyAlignment="1"/>
    <xf numFmtId="0" fontId="11" fillId="0" borderId="5" xfId="2" applyNumberFormat="1" applyFont="1" applyFill="1" applyBorder="1" applyAlignment="1"/>
    <xf numFmtId="43" fontId="13" fillId="0" borderId="5" xfId="2" applyFont="1" applyFill="1" applyBorder="1"/>
    <xf numFmtId="43" fontId="16" fillId="0" borderId="4" xfId="1" applyFont="1" applyFill="1" applyBorder="1" applyAlignment="1"/>
    <xf numFmtId="43" fontId="10" fillId="0" borderId="0" xfId="1" applyFont="1" applyFill="1" applyBorder="1"/>
    <xf numFmtId="165" fontId="13" fillId="0" borderId="4" xfId="1" applyNumberFormat="1" applyFont="1" applyFill="1" applyBorder="1" applyAlignment="1">
      <alignment horizontal="center"/>
    </xf>
    <xf numFmtId="0" fontId="11" fillId="0" borderId="5" xfId="2" applyNumberFormat="1" applyFont="1" applyFill="1" applyBorder="1" applyAlignment="1">
      <alignment vertical="top"/>
    </xf>
    <xf numFmtId="43" fontId="11" fillId="0" borderId="5" xfId="2" applyFont="1" applyFill="1" applyBorder="1"/>
    <xf numFmtId="165" fontId="10" fillId="0" borderId="0" xfId="1" applyNumberFormat="1" applyFont="1" applyFill="1" applyBorder="1"/>
    <xf numFmtId="43" fontId="11" fillId="0" borderId="4" xfId="1" applyNumberFormat="1" applyFont="1" applyFill="1" applyBorder="1" applyAlignment="1"/>
    <xf numFmtId="43" fontId="16" fillId="0" borderId="5" xfId="1" applyFont="1" applyFill="1" applyBorder="1" applyAlignment="1"/>
    <xf numFmtId="43" fontId="10" fillId="6" borderId="4" xfId="1" applyNumberFormat="1" applyFont="1" applyFill="1" applyBorder="1" applyAlignment="1"/>
    <xf numFmtId="165" fontId="10" fillId="0" borderId="4" xfId="1" applyNumberFormat="1" applyFont="1" applyFill="1" applyBorder="1" applyAlignment="1"/>
    <xf numFmtId="0" fontId="10" fillId="0" borderId="0" xfId="0" applyFont="1" applyFill="1"/>
    <xf numFmtId="0" fontId="31" fillId="0" borderId="0" xfId="0" applyFont="1"/>
    <xf numFmtId="0" fontId="12" fillId="0" borderId="4" xfId="2" applyNumberFormat="1" applyFont="1" applyFill="1" applyBorder="1" applyAlignment="1">
      <alignment horizontal="justify" vertical="top"/>
    </xf>
    <xf numFmtId="43" fontId="11" fillId="0" borderId="4" xfId="2" applyNumberFormat="1" applyFont="1" applyFill="1" applyBorder="1" applyAlignment="1">
      <alignment horizontal="center"/>
    </xf>
    <xf numFmtId="49" fontId="11" fillId="0" borderId="3" xfId="2" applyNumberFormat="1" applyFont="1" applyFill="1" applyBorder="1" applyAlignment="1">
      <alignment horizontal="center"/>
    </xf>
    <xf numFmtId="0" fontId="12" fillId="0" borderId="4" xfId="2" applyNumberFormat="1" applyFont="1" applyFill="1" applyBorder="1" applyAlignment="1">
      <alignment horizontal="left" vertical="top"/>
    </xf>
    <xf numFmtId="43" fontId="11" fillId="0" borderId="4" xfId="2" applyFont="1" applyFill="1" applyBorder="1" applyAlignment="1">
      <alignment horizontal="center"/>
    </xf>
    <xf numFmtId="0" fontId="12" fillId="0" borderId="4" xfId="2" applyNumberFormat="1" applyFont="1" applyFill="1" applyBorder="1" applyAlignment="1">
      <alignment horizontal="center" vertical="top"/>
    </xf>
    <xf numFmtId="0" fontId="12" fillId="0" borderId="4" xfId="2" applyNumberFormat="1" applyFont="1" applyFill="1" applyBorder="1" applyAlignment="1">
      <alignment horizontal="center"/>
    </xf>
    <xf numFmtId="43" fontId="10" fillId="0" borderId="0" xfId="0" applyNumberFormat="1" applyFont="1" applyFill="1"/>
    <xf numFmtId="0" fontId="12" fillId="0" borderId="4" xfId="2" applyNumberFormat="1" applyFont="1" applyFill="1" applyBorder="1" applyAlignment="1">
      <alignment horizontal="left" wrapText="1"/>
    </xf>
    <xf numFmtId="43" fontId="13" fillId="0" borderId="4" xfId="2" applyFont="1" applyFill="1" applyBorder="1" applyAlignment="1">
      <alignment horizontal="center"/>
    </xf>
    <xf numFmtId="43" fontId="13" fillId="0" borderId="4" xfId="1" applyNumberFormat="1" applyFont="1" applyFill="1" applyBorder="1" applyAlignment="1">
      <alignment horizontal="center"/>
    </xf>
    <xf numFmtId="0" fontId="12" fillId="0" borderId="4" xfId="2" applyNumberFormat="1" applyFont="1" applyFill="1" applyBorder="1" applyAlignment="1">
      <alignment horizontal="left"/>
    </xf>
    <xf numFmtId="43" fontId="11" fillId="0" borderId="4" xfId="1" applyFont="1" applyFill="1" applyBorder="1" applyAlignment="1">
      <alignment horizontal="center"/>
    </xf>
    <xf numFmtId="49" fontId="10" fillId="0" borderId="47" xfId="0" applyNumberFormat="1" applyFont="1" applyBorder="1"/>
    <xf numFmtId="0" fontId="10" fillId="0" borderId="48" xfId="0" applyFont="1" applyBorder="1" applyAlignment="1">
      <alignment wrapText="1"/>
    </xf>
    <xf numFmtId="49" fontId="11" fillId="2" borderId="48" xfId="2" applyNumberFormat="1" applyFont="1" applyFill="1" applyBorder="1" applyAlignment="1">
      <alignment horizontal="center"/>
    </xf>
    <xf numFmtId="43" fontId="10" fillId="0" borderId="48" xfId="1" applyNumberFormat="1" applyFont="1" applyBorder="1"/>
    <xf numFmtId="165" fontId="11" fillId="0" borderId="32" xfId="1" applyNumberFormat="1" applyFont="1" applyFill="1" applyBorder="1" applyAlignment="1">
      <alignment horizontal="center"/>
    </xf>
    <xf numFmtId="43" fontId="10" fillId="0" borderId="32" xfId="1" applyFont="1" applyFill="1" applyBorder="1" applyAlignment="1">
      <alignment horizontal="center" vertical="center" wrapText="1"/>
    </xf>
    <xf numFmtId="43" fontId="16" fillId="0" borderId="49" xfId="1" applyFont="1" applyFill="1" applyBorder="1" applyAlignment="1">
      <alignment horizontal="center" vertical="center" wrapText="1"/>
    </xf>
    <xf numFmtId="165" fontId="11" fillId="0" borderId="30" xfId="1" applyNumberFormat="1" applyFont="1" applyFill="1" applyBorder="1" applyAlignment="1">
      <alignment horizontal="center"/>
    </xf>
    <xf numFmtId="43" fontId="10" fillId="0" borderId="30" xfId="1" applyFont="1" applyFill="1" applyBorder="1"/>
    <xf numFmtId="43" fontId="10" fillId="0" borderId="51" xfId="1" applyFont="1" applyFill="1" applyBorder="1"/>
    <xf numFmtId="43" fontId="10" fillId="0" borderId="32" xfId="1" applyFont="1" applyFill="1" applyBorder="1"/>
    <xf numFmtId="43" fontId="16" fillId="0" borderId="49" xfId="1" applyFont="1" applyFill="1" applyBorder="1"/>
    <xf numFmtId="43" fontId="10" fillId="0" borderId="52" xfId="1" applyFont="1" applyFill="1" applyBorder="1"/>
    <xf numFmtId="43" fontId="16" fillId="0" borderId="50" xfId="1" applyFont="1" applyFill="1" applyBorder="1"/>
    <xf numFmtId="165" fontId="11" fillId="0" borderId="28" xfId="1" applyNumberFormat="1" applyFont="1" applyFill="1" applyBorder="1" applyAlignment="1">
      <alignment horizontal="center"/>
    </xf>
    <xf numFmtId="43" fontId="10" fillId="0" borderId="28" xfId="1" applyFont="1" applyFill="1" applyBorder="1"/>
    <xf numFmtId="165" fontId="11" fillId="0" borderId="24" xfId="1" applyNumberFormat="1" applyFont="1" applyFill="1" applyBorder="1" applyAlignment="1">
      <alignment horizontal="center"/>
    </xf>
    <xf numFmtId="43" fontId="10" fillId="0" borderId="24" xfId="1" applyFont="1" applyFill="1" applyBorder="1"/>
    <xf numFmtId="43" fontId="11" fillId="3" borderId="53" xfId="1" applyNumberFormat="1" applyFont="1" applyFill="1" applyBorder="1" applyAlignment="1">
      <alignment horizontal="center"/>
    </xf>
    <xf numFmtId="43" fontId="11" fillId="3" borderId="54" xfId="1" applyNumberFormat="1" applyFont="1" applyFill="1" applyBorder="1" applyAlignment="1">
      <alignment horizontal="center"/>
    </xf>
    <xf numFmtId="0" fontId="10" fillId="0" borderId="30" xfId="0" applyFont="1" applyBorder="1" applyAlignment="1">
      <alignment horizontal="center"/>
    </xf>
    <xf numFmtId="43" fontId="10" fillId="0" borderId="30" xfId="1" applyNumberFormat="1" applyFont="1" applyBorder="1"/>
    <xf numFmtId="165" fontId="10" fillId="0" borderId="30" xfId="1" applyNumberFormat="1" applyFont="1" applyFill="1" applyBorder="1"/>
    <xf numFmtId="0" fontId="10" fillId="0" borderId="32" xfId="0" applyFont="1" applyBorder="1" applyAlignment="1">
      <alignment horizontal="center"/>
    </xf>
    <xf numFmtId="43" fontId="10" fillId="0" borderId="32" xfId="1" applyNumberFormat="1" applyFont="1" applyBorder="1"/>
    <xf numFmtId="165" fontId="10" fillId="0" borderId="32" xfId="1" applyNumberFormat="1" applyFont="1" applyFill="1" applyBorder="1"/>
    <xf numFmtId="43" fontId="10" fillId="0" borderId="30" xfId="1" applyFont="1" applyBorder="1"/>
    <xf numFmtId="43" fontId="10" fillId="0" borderId="32" xfId="1" applyFont="1" applyBorder="1"/>
    <xf numFmtId="49" fontId="11" fillId="0" borderId="3" xfId="2" applyNumberFormat="1" applyFont="1" applyFill="1" applyBorder="1" applyAlignment="1">
      <alignment horizontal="center" vertical="justify"/>
    </xf>
    <xf numFmtId="49" fontId="10" fillId="6" borderId="3" xfId="0" applyNumberFormat="1" applyFont="1" applyFill="1" applyBorder="1"/>
    <xf numFmtId="49" fontId="11" fillId="3" borderId="3" xfId="2" applyNumberFormat="1" applyFont="1" applyFill="1" applyBorder="1" applyAlignment="1">
      <alignment horizontal="center" vertical="justify"/>
    </xf>
    <xf numFmtId="49" fontId="11" fillId="3" borderId="3" xfId="2" applyNumberFormat="1" applyFont="1" applyFill="1" applyBorder="1" applyAlignment="1">
      <alignment horizontal="center"/>
    </xf>
    <xf numFmtId="49" fontId="11" fillId="6" borderId="3" xfId="2" applyNumberFormat="1" applyFont="1" applyFill="1" applyBorder="1" applyAlignment="1">
      <alignment horizontal="center" vertical="justify"/>
    </xf>
    <xf numFmtId="49" fontId="11" fillId="2" borderId="3" xfId="3" applyNumberFormat="1" applyFont="1" applyFill="1" applyBorder="1" applyAlignment="1">
      <alignment horizontal="center"/>
    </xf>
    <xf numFmtId="49" fontId="11" fillId="7" borderId="3" xfId="1" applyNumberFormat="1" applyFont="1" applyFill="1" applyBorder="1" applyAlignment="1">
      <alignment horizontal="left" vertical="justify"/>
    </xf>
    <xf numFmtId="165" fontId="11" fillId="0" borderId="3" xfId="1" applyNumberFormat="1" applyFont="1" applyFill="1" applyBorder="1" applyAlignment="1">
      <alignment horizontal="left" vertical="justify"/>
    </xf>
    <xf numFmtId="0" fontId="32" fillId="0" borderId="45" xfId="0" applyFont="1" applyBorder="1" applyAlignment="1">
      <alignment horizontal="center" vertical="center"/>
    </xf>
    <xf numFmtId="0" fontId="32" fillId="0" borderId="46" xfId="0" applyFont="1" applyBorder="1" applyAlignment="1">
      <alignment horizontal="center" vertical="center"/>
    </xf>
    <xf numFmtId="49" fontId="4" fillId="2" borderId="0" xfId="0" applyNumberFormat="1" applyFont="1" applyFill="1" applyBorder="1" applyAlignment="1">
      <alignment horizontal="center"/>
    </xf>
    <xf numFmtId="49" fontId="5" fillId="2" borderId="0" xfId="0" applyNumberFormat="1" applyFont="1" applyFill="1" applyBorder="1" applyAlignment="1">
      <alignment horizontal="center"/>
    </xf>
    <xf numFmtId="49" fontId="19" fillId="0" borderId="0" xfId="0" applyNumberFormat="1" applyFont="1" applyAlignment="1">
      <alignment horizontal="center"/>
    </xf>
    <xf numFmtId="165" fontId="10" fillId="0" borderId="0" xfId="1" applyNumberFormat="1" applyFont="1" applyFill="1" applyBorder="1" applyAlignment="1">
      <alignment horizontal="center"/>
    </xf>
    <xf numFmtId="0" fontId="11" fillId="0" borderId="4" xfId="3" applyFont="1" applyBorder="1" applyAlignment="1">
      <alignment horizontal="left" vertical="top" wrapText="1"/>
    </xf>
    <xf numFmtId="0" fontId="11" fillId="0" borderId="4" xfId="3" applyFont="1" applyBorder="1" applyAlignment="1">
      <alignment horizontal="center" vertical="top"/>
    </xf>
  </cellXfs>
  <cellStyles count="4">
    <cellStyle name="Comma" xfId="1" builtinId="3"/>
    <cellStyle name="Comma 2" xfId="2"/>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1299883</xdr:colOff>
      <xdr:row>32</xdr:row>
      <xdr:rowOff>11206</xdr:rowOff>
    </xdr:from>
    <xdr:to>
      <xdr:col>0</xdr:col>
      <xdr:colOff>4697133</xdr:colOff>
      <xdr:row>33</xdr:row>
      <xdr:rowOff>788222</xdr:rowOff>
    </xdr:to>
    <xdr:pic>
      <xdr:nvPicPr>
        <xdr:cNvPr id="2" name="Picture 1" descr="http://www.epoch.associates/images/Epoch-logo-final-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883" y="8068235"/>
          <a:ext cx="3397250" cy="1012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zoomScale="85" zoomScaleNormal="85" workbookViewId="0">
      <selection activeCell="A21" sqref="A21"/>
    </sheetView>
  </sheetViews>
  <sheetFormatPr defaultRowHeight="15" x14ac:dyDescent="0.25"/>
  <cols>
    <col min="1" max="1" width="100.85546875" customWidth="1"/>
  </cols>
  <sheetData>
    <row r="1" spans="1:1" x14ac:dyDescent="0.25">
      <c r="A1" s="228"/>
    </row>
    <row r="2" spans="1:1" x14ac:dyDescent="0.25">
      <c r="A2" s="229"/>
    </row>
    <row r="3" spans="1:1" x14ac:dyDescent="0.25">
      <c r="A3" s="229"/>
    </row>
    <row r="4" spans="1:1" x14ac:dyDescent="0.25">
      <c r="A4" s="229"/>
    </row>
    <row r="5" spans="1:1" x14ac:dyDescent="0.25">
      <c r="A5" s="229"/>
    </row>
    <row r="6" spans="1:1" x14ac:dyDescent="0.25">
      <c r="A6" s="229"/>
    </row>
    <row r="7" spans="1:1" ht="33.75" x14ac:dyDescent="0.65">
      <c r="A7" s="230" t="s">
        <v>134</v>
      </c>
    </row>
    <row r="8" spans="1:1" ht="18.75" x14ac:dyDescent="0.4">
      <c r="A8" s="231"/>
    </row>
    <row r="9" spans="1:1" ht="18.75" x14ac:dyDescent="0.4">
      <c r="A9" s="231"/>
    </row>
    <row r="10" spans="1:1" ht="18.75" x14ac:dyDescent="0.4">
      <c r="A10" s="231"/>
    </row>
    <row r="11" spans="1:1" ht="18.75" x14ac:dyDescent="0.4">
      <c r="A11" s="231"/>
    </row>
    <row r="12" spans="1:1" ht="18.75" x14ac:dyDescent="0.4">
      <c r="A12" s="231"/>
    </row>
    <row r="13" spans="1:1" s="35" customFormat="1" ht="90.75" customHeight="1" x14ac:dyDescent="0.25">
      <c r="A13" s="232" t="s">
        <v>324</v>
      </c>
    </row>
    <row r="14" spans="1:1" x14ac:dyDescent="0.25">
      <c r="A14" s="229"/>
    </row>
    <row r="15" spans="1:1" ht="16.5" customHeight="1" x14ac:dyDescent="0.25">
      <c r="A15" s="229"/>
    </row>
    <row r="16" spans="1:1" ht="16.5" customHeight="1" x14ac:dyDescent="0.25">
      <c r="A16" s="229"/>
    </row>
    <row r="17" spans="1:1" ht="16.5" customHeight="1" x14ac:dyDescent="0.25">
      <c r="A17" s="229"/>
    </row>
    <row r="18" spans="1:1" ht="16.5" customHeight="1" x14ac:dyDescent="0.25">
      <c r="A18" s="229"/>
    </row>
    <row r="19" spans="1:1" ht="16.5" customHeight="1" x14ac:dyDescent="0.25">
      <c r="A19" s="229"/>
    </row>
    <row r="20" spans="1:1" ht="16.5" customHeight="1" x14ac:dyDescent="0.25">
      <c r="A20" s="229"/>
    </row>
    <row r="21" spans="1:1" x14ac:dyDescent="0.25">
      <c r="A21" s="229"/>
    </row>
    <row r="22" spans="1:1" x14ac:dyDescent="0.25">
      <c r="A22" s="229"/>
    </row>
    <row r="23" spans="1:1" x14ac:dyDescent="0.25">
      <c r="A23" s="229"/>
    </row>
    <row r="24" spans="1:1" ht="18.75" x14ac:dyDescent="0.4">
      <c r="A24" s="233" t="s">
        <v>218</v>
      </c>
    </row>
    <row r="25" spans="1:1" ht="18.75" x14ac:dyDescent="0.4">
      <c r="A25" s="234" t="s">
        <v>259</v>
      </c>
    </row>
    <row r="26" spans="1:1" ht="18.75" x14ac:dyDescent="0.4">
      <c r="A26" s="234" t="s">
        <v>259</v>
      </c>
    </row>
    <row r="27" spans="1:1" ht="18.75" x14ac:dyDescent="0.4">
      <c r="A27" s="231"/>
    </row>
    <row r="28" spans="1:1" ht="18.75" x14ac:dyDescent="0.4">
      <c r="A28" s="231"/>
    </row>
    <row r="29" spans="1:1" ht="18.75" x14ac:dyDescent="0.4">
      <c r="A29" s="231"/>
    </row>
    <row r="30" spans="1:1" ht="18.75" x14ac:dyDescent="0.4">
      <c r="A30" s="231"/>
    </row>
    <row r="31" spans="1:1" ht="18.75" x14ac:dyDescent="0.4">
      <c r="A31" s="231"/>
    </row>
    <row r="32" spans="1:1" ht="18.75" x14ac:dyDescent="0.4">
      <c r="A32" s="233" t="s">
        <v>139</v>
      </c>
    </row>
    <row r="33" spans="1:1" ht="18.75" customHeight="1" x14ac:dyDescent="0.25">
      <c r="A33" s="328"/>
    </row>
    <row r="34" spans="1:1" ht="65.25" customHeight="1" thickBot="1" x14ac:dyDescent="0.3">
      <c r="A34" s="329"/>
    </row>
    <row r="35" spans="1:1" ht="18.75" x14ac:dyDescent="0.4">
      <c r="A35" s="51"/>
    </row>
    <row r="36" spans="1:1" ht="18.75" x14ac:dyDescent="0.4">
      <c r="A36" s="50"/>
    </row>
  </sheetData>
  <mergeCells count="1">
    <mergeCell ref="A33:A34"/>
  </mergeCells>
  <pageMargins left="0.7" right="0.7" top="0.75" bottom="0.75" header="0.3" footer="0.3"/>
  <pageSetup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F8" sqref="F8"/>
    </sheetView>
  </sheetViews>
  <sheetFormatPr defaultRowHeight="15" x14ac:dyDescent="0.25"/>
  <cols>
    <col min="2" max="2" width="47.5703125" customWidth="1"/>
    <col min="3" max="3" width="28.5703125" customWidth="1"/>
    <col min="6" max="6" width="44.5703125" customWidth="1"/>
    <col min="9" max="9" width="21.140625" customWidth="1"/>
  </cols>
  <sheetData>
    <row r="1" spans="1:6" ht="18.75" x14ac:dyDescent="0.3">
      <c r="A1" s="330" t="s">
        <v>325</v>
      </c>
      <c r="B1" s="330"/>
      <c r="C1" s="330"/>
    </row>
    <row r="2" spans="1:6" ht="15.75" x14ac:dyDescent="0.25">
      <c r="A2" s="331" t="s">
        <v>70</v>
      </c>
      <c r="B2" s="331"/>
      <c r="C2" s="331"/>
    </row>
    <row r="3" spans="1:6" ht="15.75" thickBot="1" x14ac:dyDescent="0.3">
      <c r="A3" s="1"/>
      <c r="B3" s="2"/>
      <c r="C3" s="3"/>
    </row>
    <row r="4" spans="1:6" ht="20.100000000000001" customHeight="1" thickTop="1" thickBot="1" x14ac:dyDescent="0.35">
      <c r="A4" s="4" t="s">
        <v>71</v>
      </c>
      <c r="B4" s="5" t="s">
        <v>72</v>
      </c>
      <c r="C4" s="6" t="s">
        <v>73</v>
      </c>
    </row>
    <row r="5" spans="1:6" ht="24.95" customHeight="1" thickTop="1" x14ac:dyDescent="0.25">
      <c r="A5" s="7" t="s">
        <v>74</v>
      </c>
      <c r="B5" s="8" t="s">
        <v>17</v>
      </c>
      <c r="C5" s="9">
        <f>Boq!G51</f>
        <v>0</v>
      </c>
    </row>
    <row r="6" spans="1:6" ht="24.95" customHeight="1" x14ac:dyDescent="0.25">
      <c r="A6" s="10" t="s">
        <v>75</v>
      </c>
      <c r="B6" s="11" t="s">
        <v>76</v>
      </c>
      <c r="C6" s="12">
        <f>Boq!G74</f>
        <v>0</v>
      </c>
    </row>
    <row r="7" spans="1:6" ht="24.95" customHeight="1" x14ac:dyDescent="0.25">
      <c r="A7" s="10" t="s">
        <v>77</v>
      </c>
      <c r="B7" s="11" t="s">
        <v>78</v>
      </c>
      <c r="C7" s="12">
        <f>Boq!G244</f>
        <v>0</v>
      </c>
    </row>
    <row r="8" spans="1:6" ht="24.95" customHeight="1" x14ac:dyDescent="0.25">
      <c r="A8" s="10" t="s">
        <v>79</v>
      </c>
      <c r="B8" s="11" t="s">
        <v>80</v>
      </c>
      <c r="C8" s="12">
        <f>Boq!G258</f>
        <v>0</v>
      </c>
    </row>
    <row r="9" spans="1:6" ht="24.95" customHeight="1" x14ac:dyDescent="0.25">
      <c r="A9" s="10" t="s">
        <v>81</v>
      </c>
      <c r="B9" s="11" t="s">
        <v>82</v>
      </c>
      <c r="C9" s="12">
        <f>Boq!G301</f>
        <v>0</v>
      </c>
    </row>
    <row r="10" spans="1:6" ht="24.95" customHeight="1" x14ac:dyDescent="0.25">
      <c r="A10" s="10" t="s">
        <v>83</v>
      </c>
      <c r="B10" s="11" t="s">
        <v>85</v>
      </c>
      <c r="C10" s="12">
        <f>Boq!G322</f>
        <v>0</v>
      </c>
    </row>
    <row r="11" spans="1:6" ht="24.95" customHeight="1" x14ac:dyDescent="0.25">
      <c r="A11" s="10" t="s">
        <v>84</v>
      </c>
      <c r="B11" s="11" t="s">
        <v>88</v>
      </c>
      <c r="C11" s="12">
        <f>Boq!G344</f>
        <v>0</v>
      </c>
    </row>
    <row r="12" spans="1:6" ht="24.95" customHeight="1" x14ac:dyDescent="0.25">
      <c r="A12" s="10" t="s">
        <v>86</v>
      </c>
      <c r="B12" s="11" t="s">
        <v>90</v>
      </c>
      <c r="C12" s="12">
        <f>Boq!G355</f>
        <v>0</v>
      </c>
    </row>
    <row r="13" spans="1:6" ht="24.95" customHeight="1" x14ac:dyDescent="0.25">
      <c r="A13" s="10" t="s">
        <v>87</v>
      </c>
      <c r="B13" s="11" t="s">
        <v>92</v>
      </c>
      <c r="C13" s="12">
        <f>Boq!G402</f>
        <v>0</v>
      </c>
    </row>
    <row r="14" spans="1:6" ht="24.95" customHeight="1" x14ac:dyDescent="0.25">
      <c r="A14" s="10" t="s">
        <v>89</v>
      </c>
      <c r="B14" s="11" t="str">
        <f>Boq!B404</f>
        <v>LIFT &amp; INSTALLATION</v>
      </c>
      <c r="C14" s="12">
        <f>Boq!G416</f>
        <v>0</v>
      </c>
      <c r="F14" s="41"/>
    </row>
    <row r="15" spans="1:6" ht="24.95" customHeight="1" x14ac:dyDescent="0.25">
      <c r="A15" s="10" t="s">
        <v>91</v>
      </c>
      <c r="B15" s="11" t="s">
        <v>215</v>
      </c>
      <c r="C15" s="12">
        <f>Boq!G453</f>
        <v>0</v>
      </c>
      <c r="F15" s="41"/>
    </row>
    <row r="16" spans="1:6" ht="24.95" customHeight="1" x14ac:dyDescent="0.25">
      <c r="A16" s="10" t="s">
        <v>211</v>
      </c>
      <c r="B16" s="11" t="s">
        <v>216</v>
      </c>
      <c r="C16" s="12">
        <f>-Boq!G509</f>
        <v>0</v>
      </c>
    </row>
    <row r="17" spans="1:6" ht="24.95" customHeight="1" thickBot="1" x14ac:dyDescent="0.3">
      <c r="A17" s="13"/>
      <c r="B17" s="14"/>
      <c r="C17" s="15"/>
      <c r="F17" s="41">
        <f>C18*3%</f>
        <v>0</v>
      </c>
    </row>
    <row r="18" spans="1:6" ht="24.95" customHeight="1" thickTop="1" x14ac:dyDescent="0.25">
      <c r="A18" s="219"/>
      <c r="B18" s="220" t="s">
        <v>231</v>
      </c>
      <c r="C18" s="221">
        <f>SUM(C5:C16)</f>
        <v>0</v>
      </c>
      <c r="F18" s="41">
        <f>C18*0.05</f>
        <v>0</v>
      </c>
    </row>
    <row r="19" spans="1:6" ht="24.95" customHeight="1" x14ac:dyDescent="0.25">
      <c r="A19" s="222"/>
      <c r="B19" s="223" t="s">
        <v>232</v>
      </c>
      <c r="C19" s="224">
        <f>C18*6%</f>
        <v>0</v>
      </c>
    </row>
    <row r="20" spans="1:6" ht="31.5" customHeight="1" thickBot="1" x14ac:dyDescent="0.3">
      <c r="A20" s="225"/>
      <c r="B20" s="226" t="s">
        <v>233</v>
      </c>
      <c r="C20" s="227">
        <f>C18+C19</f>
        <v>0</v>
      </c>
    </row>
    <row r="21" spans="1:6" ht="15.75" thickTop="1" x14ac:dyDescent="0.25"/>
  </sheetData>
  <mergeCells count="2">
    <mergeCell ref="A1:C1"/>
    <mergeCell ref="A2:C2"/>
  </mergeCells>
  <pageMargins left="0.7" right="0.7" top="0.65" bottom="0.5" header="0.3" footer="0.3"/>
  <pageSetup paperSize="9"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9"/>
  <sheetViews>
    <sheetView showGridLines="0" tabSelected="1" showWhiteSpace="0" view="pageBreakPreview" topLeftCell="A367" zoomScaleNormal="100" zoomScaleSheetLayoutView="100" workbookViewId="0">
      <selection activeCell="B377" sqref="B377"/>
    </sheetView>
  </sheetViews>
  <sheetFormatPr defaultRowHeight="12" x14ac:dyDescent="0.2"/>
  <cols>
    <col min="1" max="1" width="4.85546875" style="29" customWidth="1"/>
    <col min="2" max="2" width="37.28515625" style="16" customWidth="1"/>
    <col min="3" max="3" width="4.7109375" style="17" customWidth="1"/>
    <col min="4" max="4" width="11.140625" style="18" bestFit="1" customWidth="1"/>
    <col min="5" max="5" width="11.42578125" style="272" customWidth="1"/>
    <col min="6" max="6" width="11.28515625" style="268" customWidth="1"/>
    <col min="7" max="7" width="12.42578125" style="268" customWidth="1"/>
    <col min="8" max="8" width="4.5703125" style="16" customWidth="1"/>
    <col min="9" max="9" width="14.42578125" style="16" customWidth="1"/>
    <col min="10" max="10" width="9.140625" style="16" customWidth="1"/>
    <col min="11" max="11" width="9" style="16" customWidth="1"/>
    <col min="12" max="12" width="9.42578125" style="16" customWidth="1"/>
    <col min="13" max="13" width="11.28515625" style="16" customWidth="1"/>
    <col min="14" max="14" width="9.28515625" style="16" customWidth="1"/>
    <col min="15" max="15" width="7.7109375" style="16" customWidth="1"/>
    <col min="16" max="16384" width="9.140625" style="16"/>
  </cols>
  <sheetData>
    <row r="1" spans="1:10" s="25" customFormat="1" ht="18.75" customHeight="1" x14ac:dyDescent="0.25">
      <c r="A1" s="332" t="s">
        <v>330</v>
      </c>
      <c r="B1" s="332"/>
      <c r="C1" s="332"/>
      <c r="D1" s="332"/>
      <c r="E1" s="332"/>
      <c r="F1" s="332"/>
      <c r="G1" s="332"/>
    </row>
    <row r="2" spans="1:10" ht="12.75" thickBot="1" x14ac:dyDescent="0.25">
      <c r="E2" s="333"/>
      <c r="F2" s="333"/>
      <c r="G2" s="333"/>
    </row>
    <row r="3" spans="1:10" s="19" customFormat="1" ht="12.75" thickBot="1" x14ac:dyDescent="0.3">
      <c r="A3" s="181" t="s">
        <v>0</v>
      </c>
      <c r="B3" s="182" t="s">
        <v>1</v>
      </c>
      <c r="C3" s="182" t="s">
        <v>2</v>
      </c>
      <c r="D3" s="183" t="s">
        <v>3</v>
      </c>
      <c r="E3" s="183" t="s">
        <v>4</v>
      </c>
      <c r="F3" s="183" t="s">
        <v>5</v>
      </c>
      <c r="G3" s="183" t="s">
        <v>6</v>
      </c>
    </row>
    <row r="4" spans="1:10" s="19" customFormat="1" x14ac:dyDescent="0.2">
      <c r="A4" s="184"/>
      <c r="B4" s="185" t="s">
        <v>16</v>
      </c>
      <c r="C4" s="186"/>
      <c r="D4" s="187"/>
      <c r="E4" s="235"/>
      <c r="F4" s="236"/>
      <c r="G4" s="237"/>
      <c r="I4" s="38"/>
      <c r="J4" s="37"/>
    </row>
    <row r="5" spans="1:10" s="19" customFormat="1" x14ac:dyDescent="0.2">
      <c r="A5" s="52"/>
      <c r="B5" s="76" t="s">
        <v>17</v>
      </c>
      <c r="C5" s="77"/>
      <c r="D5" s="78"/>
      <c r="E5" s="235"/>
      <c r="F5" s="236"/>
      <c r="G5" s="237"/>
    </row>
    <row r="6" spans="1:10" s="19" customFormat="1" x14ac:dyDescent="0.2">
      <c r="A6" s="52"/>
      <c r="B6" s="188"/>
      <c r="C6" s="77"/>
      <c r="D6" s="78"/>
      <c r="E6" s="235"/>
      <c r="F6" s="236"/>
      <c r="G6" s="237"/>
    </row>
    <row r="7" spans="1:10" s="19" customFormat="1" x14ac:dyDescent="0.2">
      <c r="A7" s="52">
        <v>1.1000000000000001</v>
      </c>
      <c r="B7" s="79" t="s">
        <v>18</v>
      </c>
      <c r="C7" s="77"/>
      <c r="D7" s="78"/>
      <c r="E7" s="235"/>
      <c r="F7" s="236"/>
      <c r="G7" s="237"/>
    </row>
    <row r="8" spans="1:10" s="19" customFormat="1" x14ac:dyDescent="0.2">
      <c r="A8" s="189" t="s">
        <v>7</v>
      </c>
      <c r="B8" s="190" t="s">
        <v>19</v>
      </c>
      <c r="C8" s="77"/>
      <c r="D8" s="78"/>
      <c r="E8" s="235"/>
      <c r="F8" s="236"/>
      <c r="G8" s="237"/>
    </row>
    <row r="9" spans="1:10" s="19" customFormat="1" x14ac:dyDescent="0.2">
      <c r="A9" s="52"/>
      <c r="B9" s="108" t="s">
        <v>20</v>
      </c>
      <c r="C9" s="77"/>
      <c r="D9" s="78"/>
      <c r="E9" s="235"/>
      <c r="F9" s="236"/>
      <c r="G9" s="237"/>
    </row>
    <row r="10" spans="1:10" s="19" customFormat="1" x14ac:dyDescent="0.2">
      <c r="A10" s="52"/>
      <c r="B10" s="108" t="s">
        <v>21</v>
      </c>
      <c r="C10" s="77"/>
      <c r="D10" s="78"/>
      <c r="E10" s="235"/>
      <c r="F10" s="236"/>
      <c r="G10" s="237"/>
    </row>
    <row r="11" spans="1:10" s="19" customFormat="1" x14ac:dyDescent="0.2">
      <c r="A11" s="52"/>
      <c r="B11" s="108" t="s">
        <v>22</v>
      </c>
      <c r="C11" s="77"/>
      <c r="D11" s="78"/>
      <c r="E11" s="235"/>
      <c r="F11" s="236"/>
      <c r="G11" s="237"/>
    </row>
    <row r="12" spans="1:10" s="19" customFormat="1" x14ac:dyDescent="0.2">
      <c r="A12" s="52"/>
      <c r="B12" s="108" t="s">
        <v>23</v>
      </c>
      <c r="C12" s="77"/>
      <c r="D12" s="78"/>
      <c r="E12" s="235"/>
      <c r="F12" s="236"/>
      <c r="G12" s="237"/>
    </row>
    <row r="13" spans="1:10" s="19" customFormat="1" x14ac:dyDescent="0.2">
      <c r="A13" s="52"/>
      <c r="B13" s="108" t="s">
        <v>20</v>
      </c>
      <c r="C13" s="77"/>
      <c r="D13" s="78"/>
      <c r="E13" s="235"/>
      <c r="F13" s="236"/>
      <c r="G13" s="237"/>
    </row>
    <row r="14" spans="1:10" s="19" customFormat="1" x14ac:dyDescent="0.2">
      <c r="A14" s="52"/>
      <c r="B14" s="108" t="s">
        <v>24</v>
      </c>
      <c r="C14" s="77"/>
      <c r="D14" s="78"/>
      <c r="E14" s="235"/>
      <c r="F14" s="236"/>
      <c r="G14" s="237"/>
    </row>
    <row r="15" spans="1:10" s="19" customFormat="1" x14ac:dyDescent="0.2">
      <c r="A15" s="52"/>
      <c r="B15" s="108" t="s">
        <v>25</v>
      </c>
      <c r="C15" s="77"/>
      <c r="D15" s="78"/>
      <c r="E15" s="235"/>
      <c r="F15" s="236"/>
      <c r="G15" s="237"/>
    </row>
    <row r="16" spans="1:10" s="19" customFormat="1" x14ac:dyDescent="0.2">
      <c r="A16" s="52"/>
      <c r="B16" s="108" t="s">
        <v>26</v>
      </c>
      <c r="C16" s="77"/>
      <c r="D16" s="78"/>
      <c r="E16" s="235"/>
      <c r="F16" s="236"/>
      <c r="G16" s="237"/>
    </row>
    <row r="17" spans="1:7" s="19" customFormat="1" x14ac:dyDescent="0.2">
      <c r="A17" s="52"/>
      <c r="B17" s="108" t="s">
        <v>27</v>
      </c>
      <c r="C17" s="77"/>
      <c r="D17" s="78"/>
      <c r="E17" s="235"/>
      <c r="F17" s="236"/>
      <c r="G17" s="237"/>
    </row>
    <row r="18" spans="1:7" s="19" customFormat="1" x14ac:dyDescent="0.2">
      <c r="A18" s="52"/>
      <c r="B18" s="108" t="s">
        <v>28</v>
      </c>
      <c r="C18" s="77"/>
      <c r="D18" s="78"/>
      <c r="E18" s="235"/>
      <c r="F18" s="236"/>
      <c r="G18" s="237"/>
    </row>
    <row r="19" spans="1:7" s="19" customFormat="1" x14ac:dyDescent="0.2">
      <c r="A19" s="52"/>
      <c r="B19" s="108" t="s">
        <v>29</v>
      </c>
      <c r="C19" s="77"/>
      <c r="D19" s="78"/>
      <c r="E19" s="235"/>
      <c r="F19" s="236"/>
      <c r="G19" s="237"/>
    </row>
    <row r="20" spans="1:7" s="19" customFormat="1" x14ac:dyDescent="0.2">
      <c r="A20" s="52"/>
      <c r="B20" s="108"/>
      <c r="C20" s="77"/>
      <c r="D20" s="78"/>
      <c r="E20" s="235"/>
      <c r="F20" s="236"/>
      <c r="G20" s="237"/>
    </row>
    <row r="21" spans="1:7" s="19" customFormat="1" x14ac:dyDescent="0.2">
      <c r="A21" s="189">
        <v>1.2</v>
      </c>
      <c r="B21" s="131" t="s">
        <v>30</v>
      </c>
      <c r="C21" s="54"/>
      <c r="D21" s="55"/>
      <c r="E21" s="235"/>
      <c r="F21" s="236"/>
      <c r="G21" s="237"/>
    </row>
    <row r="22" spans="1:7" s="19" customFormat="1" ht="60.75" customHeight="1" x14ac:dyDescent="0.2">
      <c r="A22" s="52" t="s">
        <v>7</v>
      </c>
      <c r="B22" s="83" t="s">
        <v>172</v>
      </c>
      <c r="C22" s="54" t="s">
        <v>0</v>
      </c>
      <c r="D22" s="55">
        <v>1</v>
      </c>
      <c r="E22" s="235"/>
      <c r="F22" s="238"/>
      <c r="G22" s="239">
        <f t="shared" ref="G22:G32" si="0">(D22*E22)+(D22*F22)</f>
        <v>0</v>
      </c>
    </row>
    <row r="23" spans="1:7" s="19" customFormat="1" x14ac:dyDescent="0.2">
      <c r="A23" s="189"/>
      <c r="B23" s="83"/>
      <c r="C23" s="54"/>
      <c r="D23" s="55"/>
      <c r="E23" s="235"/>
      <c r="F23" s="238"/>
      <c r="G23" s="239">
        <f t="shared" si="0"/>
        <v>0</v>
      </c>
    </row>
    <row r="24" spans="1:7" s="19" customFormat="1" x14ac:dyDescent="0.2">
      <c r="A24" s="52">
        <v>1.3</v>
      </c>
      <c r="B24" s="131" t="s">
        <v>31</v>
      </c>
      <c r="C24" s="54"/>
      <c r="D24" s="55"/>
      <c r="E24" s="235"/>
      <c r="F24" s="238"/>
      <c r="G24" s="239">
        <f t="shared" si="0"/>
        <v>0</v>
      </c>
    </row>
    <row r="25" spans="1:7" s="19" customFormat="1" x14ac:dyDescent="0.2">
      <c r="A25" s="52" t="s">
        <v>7</v>
      </c>
      <c r="B25" s="191" t="s">
        <v>32</v>
      </c>
      <c r="C25" s="54" t="s">
        <v>33</v>
      </c>
      <c r="D25" s="55">
        <v>1</v>
      </c>
      <c r="E25" s="235"/>
      <c r="F25" s="238"/>
      <c r="G25" s="239">
        <f t="shared" si="0"/>
        <v>0</v>
      </c>
    </row>
    <row r="26" spans="1:7" s="19" customFormat="1" x14ac:dyDescent="0.2">
      <c r="A26" s="52"/>
      <c r="B26" s="191"/>
      <c r="C26" s="54"/>
      <c r="D26" s="55"/>
      <c r="E26" s="235"/>
      <c r="F26" s="238"/>
      <c r="G26" s="239">
        <f t="shared" si="0"/>
        <v>0</v>
      </c>
    </row>
    <row r="27" spans="1:7" s="19" customFormat="1" x14ac:dyDescent="0.2">
      <c r="A27" s="52" t="s">
        <v>135</v>
      </c>
      <c r="B27" s="192" t="s">
        <v>136</v>
      </c>
      <c r="C27" s="54"/>
      <c r="D27" s="55"/>
      <c r="E27" s="235"/>
      <c r="F27" s="238"/>
      <c r="G27" s="239">
        <f t="shared" si="0"/>
        <v>0</v>
      </c>
    </row>
    <row r="28" spans="1:7" s="19" customFormat="1" ht="39.75" customHeight="1" x14ac:dyDescent="0.2">
      <c r="A28" s="52" t="s">
        <v>7</v>
      </c>
      <c r="B28" s="93" t="s">
        <v>190</v>
      </c>
      <c r="C28" s="54" t="s">
        <v>0</v>
      </c>
      <c r="D28" s="55">
        <v>1</v>
      </c>
      <c r="E28" s="235"/>
      <c r="F28" s="238"/>
      <c r="G28" s="239">
        <f t="shared" si="0"/>
        <v>0</v>
      </c>
    </row>
    <row r="29" spans="1:7" s="19" customFormat="1" x14ac:dyDescent="0.2">
      <c r="A29" s="52"/>
      <c r="B29" s="191"/>
      <c r="C29" s="54"/>
      <c r="D29" s="55"/>
      <c r="E29" s="235"/>
      <c r="F29" s="238"/>
      <c r="G29" s="239"/>
    </row>
    <row r="30" spans="1:7" s="19" customFormat="1" x14ac:dyDescent="0.2">
      <c r="A30" s="59" t="s">
        <v>146</v>
      </c>
      <c r="B30" s="193" t="s">
        <v>34</v>
      </c>
      <c r="C30" s="61"/>
      <c r="D30" s="62"/>
      <c r="E30" s="235"/>
      <c r="F30" s="238"/>
      <c r="G30" s="239">
        <f t="shared" si="0"/>
        <v>0</v>
      </c>
    </row>
    <row r="31" spans="1:7" s="19" customFormat="1" ht="27.75" customHeight="1" x14ac:dyDescent="0.2">
      <c r="A31" s="52" t="s">
        <v>7</v>
      </c>
      <c r="B31" s="74" t="s">
        <v>35</v>
      </c>
      <c r="C31" s="54" t="s">
        <v>0</v>
      </c>
      <c r="D31" s="55">
        <v>1</v>
      </c>
      <c r="E31" s="235"/>
      <c r="F31" s="238"/>
      <c r="G31" s="239">
        <f t="shared" si="0"/>
        <v>0</v>
      </c>
    </row>
    <row r="32" spans="1:7" s="19" customFormat="1" x14ac:dyDescent="0.2">
      <c r="A32" s="189"/>
      <c r="B32" s="74"/>
      <c r="C32" s="54"/>
      <c r="D32" s="55"/>
      <c r="E32" s="235"/>
      <c r="F32" s="236"/>
      <c r="G32" s="239">
        <f t="shared" si="0"/>
        <v>0</v>
      </c>
    </row>
    <row r="33" spans="1:7" s="19" customFormat="1" x14ac:dyDescent="0.2">
      <c r="A33" s="189"/>
      <c r="B33" s="74"/>
      <c r="C33" s="54"/>
      <c r="D33" s="55"/>
      <c r="E33" s="235"/>
      <c r="F33" s="236"/>
      <c r="G33" s="237"/>
    </row>
    <row r="34" spans="1:7" s="19" customFormat="1" x14ac:dyDescent="0.2">
      <c r="A34" s="189"/>
      <c r="B34" s="74"/>
      <c r="C34" s="54"/>
      <c r="D34" s="55"/>
      <c r="E34" s="235"/>
      <c r="F34" s="236"/>
      <c r="G34" s="237"/>
    </row>
    <row r="35" spans="1:7" s="19" customFormat="1" x14ac:dyDescent="0.2">
      <c r="A35" s="189"/>
      <c r="B35" s="74"/>
      <c r="C35" s="54"/>
      <c r="D35" s="55"/>
      <c r="E35" s="235"/>
      <c r="F35" s="236"/>
      <c r="G35" s="237"/>
    </row>
    <row r="36" spans="1:7" s="19" customFormat="1" x14ac:dyDescent="0.2">
      <c r="A36" s="189"/>
      <c r="B36" s="74"/>
      <c r="C36" s="54"/>
      <c r="D36" s="55"/>
      <c r="E36" s="235"/>
      <c r="F36" s="236"/>
      <c r="G36" s="237"/>
    </row>
    <row r="37" spans="1:7" s="19" customFormat="1" x14ac:dyDescent="0.2">
      <c r="A37" s="189"/>
      <c r="B37" s="74"/>
      <c r="C37" s="54"/>
      <c r="D37" s="55"/>
      <c r="E37" s="235"/>
      <c r="F37" s="236"/>
      <c r="G37" s="237"/>
    </row>
    <row r="38" spans="1:7" s="19" customFormat="1" x14ac:dyDescent="0.2">
      <c r="A38" s="189"/>
      <c r="B38" s="74"/>
      <c r="C38" s="54"/>
      <c r="D38" s="55"/>
      <c r="E38" s="235"/>
      <c r="F38" s="236"/>
      <c r="G38" s="237"/>
    </row>
    <row r="39" spans="1:7" s="19" customFormat="1" x14ac:dyDescent="0.2">
      <c r="A39" s="189"/>
      <c r="B39" s="74"/>
      <c r="C39" s="54"/>
      <c r="D39" s="55"/>
      <c r="E39" s="235"/>
      <c r="F39" s="236"/>
      <c r="G39" s="237"/>
    </row>
    <row r="40" spans="1:7" s="19" customFormat="1" x14ac:dyDescent="0.2">
      <c r="A40" s="189"/>
      <c r="B40" s="74"/>
      <c r="C40" s="54"/>
      <c r="D40" s="55"/>
      <c r="E40" s="235"/>
      <c r="F40" s="236"/>
      <c r="G40" s="237"/>
    </row>
    <row r="41" spans="1:7" s="19" customFormat="1" x14ac:dyDescent="0.2">
      <c r="A41" s="189"/>
      <c r="B41" s="74"/>
      <c r="C41" s="54"/>
      <c r="D41" s="55"/>
      <c r="E41" s="235"/>
      <c r="F41" s="236"/>
      <c r="G41" s="237"/>
    </row>
    <row r="42" spans="1:7" s="19" customFormat="1" x14ac:dyDescent="0.2">
      <c r="A42" s="189"/>
      <c r="B42" s="74"/>
      <c r="C42" s="54"/>
      <c r="D42" s="55"/>
      <c r="E42" s="235"/>
      <c r="F42" s="236"/>
      <c r="G42" s="237"/>
    </row>
    <row r="43" spans="1:7" s="19" customFormat="1" x14ac:dyDescent="0.2">
      <c r="A43" s="189"/>
      <c r="B43" s="74"/>
      <c r="C43" s="54"/>
      <c r="D43" s="55"/>
      <c r="E43" s="235"/>
      <c r="F43" s="236"/>
      <c r="G43" s="237"/>
    </row>
    <row r="44" spans="1:7" s="19" customFormat="1" x14ac:dyDescent="0.2">
      <c r="A44" s="189"/>
      <c r="B44" s="74"/>
      <c r="C44" s="54"/>
      <c r="D44" s="55"/>
      <c r="E44" s="235"/>
      <c r="F44" s="236"/>
      <c r="G44" s="237"/>
    </row>
    <row r="45" spans="1:7" s="19" customFormat="1" x14ac:dyDescent="0.2">
      <c r="A45" s="189"/>
      <c r="B45" s="74"/>
      <c r="C45" s="54"/>
      <c r="D45" s="55"/>
      <c r="E45" s="235"/>
      <c r="F45" s="236"/>
      <c r="G45" s="237"/>
    </row>
    <row r="46" spans="1:7" s="19" customFormat="1" x14ac:dyDescent="0.2">
      <c r="A46" s="189"/>
      <c r="B46" s="74"/>
      <c r="C46" s="54"/>
      <c r="D46" s="55"/>
      <c r="E46" s="235"/>
      <c r="F46" s="236"/>
      <c r="G46" s="237"/>
    </row>
    <row r="47" spans="1:7" s="19" customFormat="1" x14ac:dyDescent="0.2">
      <c r="A47" s="189"/>
      <c r="B47" s="74"/>
      <c r="C47" s="54"/>
      <c r="D47" s="55"/>
      <c r="E47" s="235"/>
      <c r="F47" s="236"/>
      <c r="G47" s="237"/>
    </row>
    <row r="48" spans="1:7" s="19" customFormat="1" x14ac:dyDescent="0.2">
      <c r="A48" s="189"/>
      <c r="B48" s="74"/>
      <c r="C48" s="54"/>
      <c r="D48" s="55"/>
      <c r="E48" s="235"/>
      <c r="F48" s="236"/>
      <c r="G48" s="237"/>
    </row>
    <row r="49" spans="1:18" s="19" customFormat="1" ht="12.75" thickBot="1" x14ac:dyDescent="0.25">
      <c r="A49" s="189"/>
      <c r="B49" s="74"/>
      <c r="C49" s="54"/>
      <c r="D49" s="55"/>
      <c r="E49" s="235"/>
      <c r="F49" s="236"/>
      <c r="G49" s="237"/>
    </row>
    <row r="50" spans="1:18" s="19" customFormat="1" x14ac:dyDescent="0.2">
      <c r="A50" s="194"/>
      <c r="B50" s="195" t="s">
        <v>36</v>
      </c>
      <c r="C50" s="196"/>
      <c r="D50" s="197"/>
      <c r="E50" s="197"/>
      <c r="F50" s="197"/>
      <c r="G50" s="197"/>
    </row>
    <row r="51" spans="1:18" s="19" customFormat="1" ht="12.75" thickBot="1" x14ac:dyDescent="0.25">
      <c r="A51" s="198"/>
      <c r="B51" s="199" t="s">
        <v>37</v>
      </c>
      <c r="C51" s="200"/>
      <c r="D51" s="201"/>
      <c r="E51" s="296"/>
      <c r="F51" s="297"/>
      <c r="G51" s="298">
        <f>SUM(G22:G50)</f>
        <v>0</v>
      </c>
    </row>
    <row r="52" spans="1:18" s="19" customFormat="1" x14ac:dyDescent="0.2">
      <c r="A52" s="52"/>
      <c r="B52" s="136"/>
      <c r="C52" s="141"/>
      <c r="D52" s="55"/>
      <c r="E52" s="235"/>
      <c r="F52" s="236"/>
      <c r="G52" s="237"/>
    </row>
    <row r="53" spans="1:18" s="19" customFormat="1" x14ac:dyDescent="0.2">
      <c r="A53" s="52"/>
      <c r="B53" s="76" t="s">
        <v>38</v>
      </c>
      <c r="C53" s="77"/>
      <c r="D53" s="78"/>
      <c r="E53" s="235"/>
      <c r="F53" s="236"/>
      <c r="G53" s="237"/>
    </row>
    <row r="54" spans="1:18" s="19" customFormat="1" x14ac:dyDescent="0.2">
      <c r="A54" s="52"/>
      <c r="B54" s="76" t="s">
        <v>39</v>
      </c>
      <c r="C54" s="77"/>
      <c r="D54" s="78"/>
      <c r="E54" s="235"/>
      <c r="F54" s="236"/>
      <c r="G54" s="237"/>
    </row>
    <row r="55" spans="1:18" s="19" customFormat="1" x14ac:dyDescent="0.2">
      <c r="A55" s="52">
        <v>2.1</v>
      </c>
      <c r="B55" s="79" t="s">
        <v>40</v>
      </c>
      <c r="C55" s="77"/>
      <c r="D55" s="78"/>
      <c r="E55" s="235"/>
      <c r="F55" s="236"/>
      <c r="G55" s="237"/>
    </row>
    <row r="56" spans="1:18" s="19" customFormat="1" ht="65.25" customHeight="1" x14ac:dyDescent="0.2">
      <c r="A56" s="52"/>
      <c r="B56" s="80" t="s">
        <v>173</v>
      </c>
      <c r="C56" s="81"/>
      <c r="D56" s="81"/>
      <c r="E56" s="240"/>
      <c r="F56" s="240"/>
      <c r="G56" s="241"/>
    </row>
    <row r="57" spans="1:18" s="19" customFormat="1" x14ac:dyDescent="0.25">
      <c r="A57" s="43"/>
      <c r="B57" s="31"/>
      <c r="C57" s="31"/>
      <c r="D57" s="32"/>
      <c r="E57" s="242"/>
      <c r="F57" s="243"/>
      <c r="G57" s="244"/>
    </row>
    <row r="58" spans="1:18" s="19" customFormat="1" x14ac:dyDescent="0.2">
      <c r="A58" s="52" t="s">
        <v>10</v>
      </c>
      <c r="B58" s="82" t="s">
        <v>55</v>
      </c>
      <c r="C58" s="54"/>
      <c r="D58" s="70"/>
      <c r="E58" s="245"/>
      <c r="F58" s="238"/>
      <c r="G58" s="239"/>
    </row>
    <row r="59" spans="1:18" s="19" customFormat="1" ht="48.75" customHeight="1" x14ac:dyDescent="0.2">
      <c r="A59" s="52"/>
      <c r="B59" s="83" t="s">
        <v>56</v>
      </c>
      <c r="C59" s="54" t="s">
        <v>41</v>
      </c>
      <c r="D59" s="84">
        <v>7.75</v>
      </c>
      <c r="E59" s="235"/>
      <c r="F59" s="238"/>
      <c r="G59" s="239">
        <f t="shared" ref="G59" si="1">(D59*E59)+(D59*F59)</f>
        <v>0</v>
      </c>
      <c r="I59" s="19">
        <f>20.4*13.675</f>
        <v>278.96999999999997</v>
      </c>
    </row>
    <row r="60" spans="1:18" s="19" customFormat="1" x14ac:dyDescent="0.2">
      <c r="A60" s="52"/>
      <c r="B60" s="83"/>
      <c r="C60" s="54"/>
      <c r="D60" s="84"/>
      <c r="E60" s="235"/>
      <c r="F60" s="238"/>
      <c r="G60" s="239"/>
    </row>
    <row r="61" spans="1:18" s="19" customFormat="1" x14ac:dyDescent="0.2">
      <c r="A61" s="52" t="s">
        <v>15</v>
      </c>
      <c r="B61" s="60" t="s">
        <v>42</v>
      </c>
      <c r="C61" s="54"/>
      <c r="D61" s="55"/>
      <c r="E61" s="235"/>
      <c r="F61" s="238"/>
      <c r="G61" s="239"/>
    </row>
    <row r="62" spans="1:18" s="19" customFormat="1" ht="50.25" customHeight="1" x14ac:dyDescent="0.2">
      <c r="A62" s="44"/>
      <c r="B62" s="85" t="s">
        <v>229</v>
      </c>
      <c r="C62" s="86"/>
      <c r="D62" s="86"/>
      <c r="E62" s="246"/>
      <c r="F62" s="238"/>
      <c r="G62" s="239"/>
      <c r="I62" s="19">
        <f>1.1*1.1*6</f>
        <v>7.2600000000000016</v>
      </c>
      <c r="J62" s="19">
        <f>1.45*1.45*8</f>
        <v>16.82</v>
      </c>
      <c r="K62" s="19">
        <f>1.35*1.35*11</f>
        <v>20.047500000000003</v>
      </c>
      <c r="L62" s="19">
        <f>1.2*1.2*4</f>
        <v>5.76</v>
      </c>
      <c r="M62" s="19">
        <f>0.9*0.9*2</f>
        <v>1.62</v>
      </c>
      <c r="N62" s="19">
        <f>1.25*1.25*4</f>
        <v>6.25</v>
      </c>
      <c r="O62" s="19">
        <f>1.95*1.95*4</f>
        <v>15.209999999999999</v>
      </c>
      <c r="P62" s="19">
        <f>2.05*2.05*4</f>
        <v>16.809999999999999</v>
      </c>
      <c r="Q62" s="19">
        <f>SUM(I61:P62)</f>
        <v>89.777500000000003</v>
      </c>
      <c r="R62" s="19">
        <f>Q62*1.25</f>
        <v>112.22187500000001</v>
      </c>
    </row>
    <row r="63" spans="1:18" s="19" customFormat="1" ht="12.75" customHeight="1" x14ac:dyDescent="0.25">
      <c r="A63" s="52" t="s">
        <v>45</v>
      </c>
      <c r="B63" s="87" t="s">
        <v>42</v>
      </c>
      <c r="C63" s="54"/>
      <c r="D63" s="55"/>
      <c r="E63" s="235"/>
      <c r="F63" s="238"/>
      <c r="G63" s="239"/>
      <c r="I63" s="19">
        <f>3.195+3.255+1.25+2.87+2.93+2.72+2.93+2.98*3+2.92*3+3.195+3.255+1.25+2.175+2.15+2.2*7+2.225+2.175+2.1*3+2.15*5+2.225+2.5+2.4*3+2.225*5+2.325+1.85*2+4.75*2+4.85*2</f>
        <v>133.99999999999997</v>
      </c>
      <c r="J63" s="42">
        <f>I63*0.55*0.95</f>
        <v>70.014999999999986</v>
      </c>
      <c r="K63" s="17"/>
      <c r="L63" s="17">
        <f>J63+R62</f>
        <v>182.236875</v>
      </c>
      <c r="M63" s="17"/>
    </row>
    <row r="64" spans="1:18" s="17" customFormat="1" ht="15" x14ac:dyDescent="0.25">
      <c r="A64" s="75" t="s">
        <v>7</v>
      </c>
      <c r="B64" s="88" t="s">
        <v>246</v>
      </c>
      <c r="C64" s="54" t="s">
        <v>43</v>
      </c>
      <c r="D64" s="55">
        <v>9.3000000000000007</v>
      </c>
      <c r="E64" s="235"/>
      <c r="F64" s="247"/>
      <c r="G64" s="248">
        <f t="shared" ref="G64" si="2">(D64*E64)+(D64*F64)</f>
        <v>0</v>
      </c>
      <c r="J64" s="42"/>
    </row>
    <row r="65" spans="1:14" x14ac:dyDescent="0.2">
      <c r="A65" s="52"/>
      <c r="B65" s="63"/>
      <c r="C65" s="54"/>
      <c r="D65" s="55"/>
      <c r="E65" s="235"/>
      <c r="F65" s="238"/>
      <c r="G65" s="239"/>
      <c r="I65" s="24">
        <f>8.3*5</f>
        <v>41.5</v>
      </c>
      <c r="J65" s="21">
        <f>I65*0.25*0.45</f>
        <v>4.6687500000000002</v>
      </c>
      <c r="K65" s="21"/>
      <c r="L65" s="46"/>
      <c r="M65" s="19"/>
      <c r="N65" s="46"/>
    </row>
    <row r="66" spans="1:14" s="19" customFormat="1" x14ac:dyDescent="0.2">
      <c r="A66" s="52"/>
      <c r="B66" s="63"/>
      <c r="C66" s="54"/>
      <c r="D66" s="55"/>
      <c r="E66" s="235"/>
      <c r="F66" s="236"/>
      <c r="G66" s="239"/>
    </row>
    <row r="67" spans="1:14" s="19" customFormat="1" x14ac:dyDescent="0.2">
      <c r="A67" s="52" t="s">
        <v>245</v>
      </c>
      <c r="B67" s="89" t="s">
        <v>44</v>
      </c>
      <c r="C67" s="54"/>
      <c r="D67" s="55"/>
      <c r="E67" s="235"/>
      <c r="F67" s="236"/>
      <c r="G67" s="237"/>
    </row>
    <row r="68" spans="1:14" s="19" customFormat="1" ht="25.5" customHeight="1" x14ac:dyDescent="0.25">
      <c r="A68" s="52"/>
      <c r="B68" s="56" t="s">
        <v>185</v>
      </c>
      <c r="C68" s="57"/>
      <c r="D68" s="57"/>
      <c r="E68" s="249"/>
      <c r="F68" s="236"/>
      <c r="G68" s="237"/>
    </row>
    <row r="69" spans="1:14" s="19" customFormat="1" ht="25.5" customHeight="1" x14ac:dyDescent="0.2">
      <c r="A69" s="52"/>
      <c r="B69" s="74" t="s">
        <v>186</v>
      </c>
      <c r="C69" s="54" t="s">
        <v>41</v>
      </c>
      <c r="D69" s="55">
        <v>3.5</v>
      </c>
      <c r="E69" s="250"/>
      <c r="F69" s="236"/>
      <c r="G69" s="248">
        <f t="shared" ref="G69" si="3">(D69*E69)+(D69*F69)</f>
        <v>0</v>
      </c>
    </row>
    <row r="70" spans="1:14" s="19" customFormat="1" x14ac:dyDescent="0.2">
      <c r="A70" s="52" t="s">
        <v>219</v>
      </c>
      <c r="B70" s="60" t="s">
        <v>46</v>
      </c>
      <c r="C70" s="54"/>
      <c r="D70" s="55"/>
      <c r="E70" s="235"/>
      <c r="F70" s="238"/>
      <c r="G70" s="239">
        <f t="shared" ref="G70:G72" si="4">(D70*E70)+(D70*F70)</f>
        <v>0</v>
      </c>
    </row>
    <row r="71" spans="1:14" s="19" customFormat="1" ht="27" customHeight="1" x14ac:dyDescent="0.2">
      <c r="A71" s="52"/>
      <c r="B71" s="91" t="s">
        <v>47</v>
      </c>
      <c r="C71" s="54"/>
      <c r="D71" s="55"/>
      <c r="E71" s="235"/>
      <c r="F71" s="238"/>
      <c r="G71" s="239">
        <f t="shared" si="4"/>
        <v>0</v>
      </c>
    </row>
    <row r="72" spans="1:14" s="19" customFormat="1" ht="24.75" thickBot="1" x14ac:dyDescent="0.25">
      <c r="A72" s="52" t="s">
        <v>137</v>
      </c>
      <c r="B72" s="91" t="s">
        <v>48</v>
      </c>
      <c r="C72" s="54" t="s">
        <v>41</v>
      </c>
      <c r="D72" s="55">
        <v>7.75</v>
      </c>
      <c r="E72" s="235"/>
      <c r="F72" s="238"/>
      <c r="G72" s="239">
        <f t="shared" si="4"/>
        <v>0</v>
      </c>
      <c r="I72" s="21"/>
      <c r="J72" s="21"/>
    </row>
    <row r="73" spans="1:14" s="19" customFormat="1" x14ac:dyDescent="0.2">
      <c r="A73" s="194"/>
      <c r="B73" s="195" t="s">
        <v>49</v>
      </c>
      <c r="C73" s="202"/>
      <c r="D73" s="197"/>
      <c r="E73" s="197"/>
      <c r="F73" s="197"/>
      <c r="G73" s="197"/>
    </row>
    <row r="74" spans="1:14" s="19" customFormat="1" ht="12.75" thickBot="1" x14ac:dyDescent="0.25">
      <c r="A74" s="198"/>
      <c r="B74" s="199" t="s">
        <v>50</v>
      </c>
      <c r="C74" s="203"/>
      <c r="D74" s="201"/>
      <c r="E74" s="296"/>
      <c r="F74" s="297"/>
      <c r="G74" s="298">
        <f>SUM(G59:G73)</f>
        <v>0</v>
      </c>
    </row>
    <row r="75" spans="1:14" s="19" customFormat="1" x14ac:dyDescent="0.2">
      <c r="A75" s="52"/>
      <c r="B75" s="76" t="s">
        <v>51</v>
      </c>
      <c r="C75" s="54"/>
      <c r="D75" s="55"/>
      <c r="E75" s="235"/>
      <c r="F75" s="236"/>
      <c r="G75" s="237"/>
    </row>
    <row r="76" spans="1:14" s="19" customFormat="1" x14ac:dyDescent="0.2">
      <c r="A76" s="52" t="s">
        <v>52</v>
      </c>
      <c r="B76" s="53" t="s">
        <v>53</v>
      </c>
      <c r="C76" s="54"/>
      <c r="D76" s="55"/>
      <c r="E76" s="235"/>
      <c r="F76" s="236"/>
      <c r="G76" s="237"/>
    </row>
    <row r="77" spans="1:14" s="19" customFormat="1" ht="58.5" customHeight="1" x14ac:dyDescent="0.25">
      <c r="A77" s="52"/>
      <c r="B77" s="56" t="s">
        <v>175</v>
      </c>
      <c r="C77" s="57"/>
      <c r="D77" s="57"/>
      <c r="E77" s="249"/>
      <c r="F77" s="249"/>
      <c r="G77" s="251"/>
    </row>
    <row r="78" spans="1:14" s="19" customFormat="1" ht="35.25" customHeight="1" x14ac:dyDescent="0.25">
      <c r="A78" s="52"/>
      <c r="B78" s="58" t="s">
        <v>174</v>
      </c>
      <c r="C78" s="57"/>
      <c r="D78" s="57"/>
      <c r="E78" s="249"/>
      <c r="F78" s="249"/>
      <c r="G78" s="251"/>
    </row>
    <row r="79" spans="1:14" s="19" customFormat="1" ht="36" customHeight="1" x14ac:dyDescent="0.25">
      <c r="A79" s="52"/>
      <c r="B79" s="56" t="s">
        <v>132</v>
      </c>
      <c r="C79" s="57"/>
      <c r="D79" s="57"/>
      <c r="E79" s="249"/>
      <c r="F79" s="249"/>
      <c r="G79" s="251"/>
    </row>
    <row r="80" spans="1:14" s="19" customFormat="1" ht="15" customHeight="1" x14ac:dyDescent="0.2">
      <c r="A80" s="320" t="s">
        <v>57</v>
      </c>
      <c r="B80" s="279" t="s">
        <v>58</v>
      </c>
      <c r="C80" s="280"/>
      <c r="D80" s="258"/>
      <c r="E80" s="235"/>
      <c r="F80" s="236"/>
      <c r="G80" s="237"/>
    </row>
    <row r="81" spans="1:18" s="45" customFormat="1" ht="14.25" customHeight="1" x14ac:dyDescent="0.25">
      <c r="A81" s="59"/>
      <c r="B81" s="60" t="s">
        <v>192</v>
      </c>
      <c r="C81" s="61"/>
      <c r="D81" s="62"/>
      <c r="E81" s="252"/>
      <c r="F81" s="253"/>
      <c r="G81" s="254"/>
      <c r="I81" s="19">
        <f>1.1*1.1*6</f>
        <v>7.2600000000000016</v>
      </c>
      <c r="J81" s="19">
        <f>1.45*1.45*8</f>
        <v>16.82</v>
      </c>
      <c r="K81" s="19">
        <f>1.35*1.35*11</f>
        <v>20.047500000000003</v>
      </c>
      <c r="L81" s="19">
        <f>1.2*1.2*4</f>
        <v>5.76</v>
      </c>
      <c r="M81" s="19">
        <f>0.9*0.9*2</f>
        <v>1.62</v>
      </c>
      <c r="N81" s="19">
        <f>1.25*1.25*4</f>
        <v>6.25</v>
      </c>
      <c r="O81" s="19">
        <f>1.95*1.95*4</f>
        <v>15.209999999999999</v>
      </c>
      <c r="P81" s="19">
        <f>2.05*2.05*4</f>
        <v>16.809999999999999</v>
      </c>
      <c r="Q81" s="19">
        <f>SUM(I80:P81)</f>
        <v>89.777500000000003</v>
      </c>
      <c r="R81" s="19">
        <f>Q81</f>
        <v>89.777500000000003</v>
      </c>
    </row>
    <row r="82" spans="1:18" s="19" customFormat="1" ht="12" customHeight="1" x14ac:dyDescent="0.25">
      <c r="A82" s="52"/>
      <c r="B82" s="88" t="s">
        <v>246</v>
      </c>
      <c r="C82" s="54" t="s">
        <v>41</v>
      </c>
      <c r="D82" s="55">
        <v>7.75</v>
      </c>
      <c r="E82" s="235"/>
      <c r="F82" s="238"/>
      <c r="G82" s="239">
        <f t="shared" ref="G82" si="5">(D82*E82)+(D82*F82)</f>
        <v>0</v>
      </c>
      <c r="I82" s="19">
        <f>3.195+3.255+1.25+2.87+2.93+2.72+2.93+2.98*3+2.92*3+3.195+3.255+1.25+2.175+2.15+2.2*7+2.225+2.175+2.1*3+2.15*5+2.225+2.5+2.4*3+2.225*5+2.325+1.85*2+4.75*2+4.85*2</f>
        <v>133.99999999999997</v>
      </c>
      <c r="J82" s="42">
        <f>I82*0.55</f>
        <v>73.699999999999989</v>
      </c>
      <c r="K82" s="17"/>
      <c r="L82" s="17">
        <f>J82+R81</f>
        <v>163.47749999999999</v>
      </c>
      <c r="M82" s="17"/>
    </row>
    <row r="83" spans="1:18" s="19" customFormat="1" ht="15" customHeight="1" x14ac:dyDescent="0.2">
      <c r="A83" s="281" t="s">
        <v>63</v>
      </c>
      <c r="B83" s="282" t="s">
        <v>13</v>
      </c>
      <c r="C83" s="283"/>
      <c r="D83" s="258"/>
      <c r="E83" s="235"/>
      <c r="F83" s="236"/>
      <c r="G83" s="237"/>
    </row>
    <row r="84" spans="1:18" x14ac:dyDescent="0.2">
      <c r="A84" s="321" t="s">
        <v>271</v>
      </c>
      <c r="B84" s="64" t="s">
        <v>59</v>
      </c>
      <c r="C84" s="65"/>
      <c r="D84" s="66"/>
      <c r="E84" s="255"/>
      <c r="F84" s="256"/>
      <c r="G84" s="257"/>
    </row>
    <row r="85" spans="1:18" s="17" customFormat="1" ht="15" x14ac:dyDescent="0.25">
      <c r="A85" s="75" t="s">
        <v>7</v>
      </c>
      <c r="B85" s="88" t="s">
        <v>246</v>
      </c>
      <c r="C85" s="54" t="s">
        <v>43</v>
      </c>
      <c r="D85" s="55">
        <v>2.7124999999999999</v>
      </c>
      <c r="E85" s="235"/>
      <c r="F85" s="247"/>
      <c r="G85" s="248">
        <f t="shared" ref="G85" si="6">(D85*E85)+(D85*F85)</f>
        <v>0</v>
      </c>
      <c r="J85" s="42"/>
    </row>
    <row r="86" spans="1:18" x14ac:dyDescent="0.2">
      <c r="A86" s="321" t="s">
        <v>272</v>
      </c>
      <c r="B86" s="64" t="s">
        <v>62</v>
      </c>
      <c r="C86" s="65"/>
      <c r="D86" s="66"/>
      <c r="E86" s="255"/>
      <c r="F86" s="256"/>
      <c r="G86" s="257"/>
    </row>
    <row r="87" spans="1:18" x14ac:dyDescent="0.2">
      <c r="A87" s="75" t="s">
        <v>7</v>
      </c>
      <c r="B87" s="71" t="s">
        <v>158</v>
      </c>
      <c r="C87" s="72"/>
      <c r="D87" s="73"/>
      <c r="E87" s="255"/>
      <c r="F87" s="238"/>
      <c r="G87" s="239">
        <f t="shared" ref="G87:G88" si="7">(D87*E87)+(D87*F87)</f>
        <v>0</v>
      </c>
    </row>
    <row r="88" spans="1:18" ht="13.5" x14ac:dyDescent="0.2">
      <c r="A88" s="67"/>
      <c r="B88" s="68" t="s">
        <v>205</v>
      </c>
      <c r="C88" s="69" t="s">
        <v>122</v>
      </c>
      <c r="D88" s="70">
        <v>0.28600000000000003</v>
      </c>
      <c r="E88" s="235"/>
      <c r="F88" s="238"/>
      <c r="G88" s="239">
        <f t="shared" si="7"/>
        <v>0</v>
      </c>
      <c r="I88" s="16">
        <f>32.2*11.075</f>
        <v>356.61500000000001</v>
      </c>
      <c r="J88" s="16">
        <f>32.2*0.15*2</f>
        <v>9.66</v>
      </c>
      <c r="K88" s="16">
        <f>SUM(I88:J88)</f>
        <v>366.27500000000003</v>
      </c>
      <c r="L88" s="16">
        <f>K88*0.1</f>
        <v>36.627500000000005</v>
      </c>
    </row>
    <row r="89" spans="1:18" x14ac:dyDescent="0.2">
      <c r="A89" s="75" t="s">
        <v>235</v>
      </c>
      <c r="B89" s="71" t="s">
        <v>247</v>
      </c>
      <c r="C89" s="72"/>
      <c r="D89" s="73"/>
      <c r="E89" s="255"/>
      <c r="F89" s="238"/>
      <c r="G89" s="239">
        <f t="shared" ref="G89:G91" si="8">(D89*E89)+(D89*F89)</f>
        <v>0</v>
      </c>
    </row>
    <row r="90" spans="1:18" ht="13.5" x14ac:dyDescent="0.2">
      <c r="A90" s="67"/>
      <c r="B90" s="68" t="s">
        <v>269</v>
      </c>
      <c r="C90" s="69" t="s">
        <v>122</v>
      </c>
      <c r="D90" s="70">
        <v>1.0454999999999999</v>
      </c>
      <c r="E90" s="235"/>
      <c r="F90" s="238"/>
      <c r="G90" s="239">
        <f t="shared" ref="G90" si="9">(D90*E90)+(D90*F90)</f>
        <v>0</v>
      </c>
      <c r="I90" s="16">
        <f>32.2*11.075</f>
        <v>356.61500000000001</v>
      </c>
      <c r="J90" s="16">
        <f>32.2*0.15*2</f>
        <v>9.66</v>
      </c>
      <c r="K90" s="16">
        <f>SUM(I90:J90)</f>
        <v>366.27500000000003</v>
      </c>
      <c r="L90" s="16">
        <f>K90*0.1</f>
        <v>36.627500000000005</v>
      </c>
    </row>
    <row r="91" spans="1:18" ht="13.5" x14ac:dyDescent="0.2">
      <c r="A91" s="67"/>
      <c r="B91" s="68" t="s">
        <v>248</v>
      </c>
      <c r="C91" s="69" t="s">
        <v>122</v>
      </c>
      <c r="D91" s="70">
        <v>4.5924299999999993</v>
      </c>
      <c r="E91" s="235"/>
      <c r="F91" s="238"/>
      <c r="G91" s="239">
        <f t="shared" si="8"/>
        <v>0</v>
      </c>
      <c r="I91" s="16">
        <f>32.2*11.075</f>
        <v>356.61500000000001</v>
      </c>
      <c r="J91" s="16">
        <f>32.2*0.15*2</f>
        <v>9.66</v>
      </c>
      <c r="K91" s="16">
        <f>SUM(I91:J91)</f>
        <v>366.27500000000003</v>
      </c>
      <c r="L91" s="16">
        <f>K91*0.1</f>
        <v>36.627500000000005</v>
      </c>
    </row>
    <row r="92" spans="1:18" x14ac:dyDescent="0.2">
      <c r="A92" s="321" t="s">
        <v>273</v>
      </c>
      <c r="B92" s="64" t="s">
        <v>64</v>
      </c>
      <c r="C92" s="65"/>
      <c r="D92" s="66"/>
      <c r="E92" s="255"/>
      <c r="F92" s="256"/>
      <c r="G92" s="257"/>
    </row>
    <row r="93" spans="1:18" x14ac:dyDescent="0.2">
      <c r="A93" s="75" t="s">
        <v>7</v>
      </c>
      <c r="B93" s="71" t="s">
        <v>206</v>
      </c>
      <c r="C93" s="72"/>
      <c r="D93" s="73"/>
      <c r="E93" s="255"/>
      <c r="F93" s="238"/>
      <c r="G93" s="239">
        <f t="shared" ref="G93:G94" si="10">(D93*E93)+(D93*F93)</f>
        <v>0</v>
      </c>
    </row>
    <row r="94" spans="1:18" ht="13.5" x14ac:dyDescent="0.2">
      <c r="A94" s="67"/>
      <c r="B94" s="68" t="s">
        <v>270</v>
      </c>
      <c r="C94" s="69" t="s">
        <v>122</v>
      </c>
      <c r="D94" s="70">
        <v>0.45899999999999991</v>
      </c>
      <c r="E94" s="235"/>
      <c r="F94" s="238"/>
      <c r="G94" s="239">
        <f t="shared" si="10"/>
        <v>0</v>
      </c>
      <c r="I94" s="16">
        <f>29*8.5</f>
        <v>246.5</v>
      </c>
      <c r="J94" s="16">
        <f>32.2*2.2</f>
        <v>70.840000000000018</v>
      </c>
      <c r="K94" s="16">
        <f>SUM(I94:J94)</f>
        <v>317.34000000000003</v>
      </c>
      <c r="L94" s="16">
        <f>K94*0.15</f>
        <v>47.601000000000006</v>
      </c>
    </row>
    <row r="95" spans="1:18" x14ac:dyDescent="0.2">
      <c r="A95" s="75" t="s">
        <v>235</v>
      </c>
      <c r="B95" s="71" t="s">
        <v>247</v>
      </c>
      <c r="C95" s="72"/>
      <c r="D95" s="73"/>
      <c r="E95" s="255"/>
      <c r="F95" s="238"/>
      <c r="G95" s="239">
        <f t="shared" ref="G95:G96" si="11">(D95*E95)+(D95*F95)</f>
        <v>0</v>
      </c>
    </row>
    <row r="96" spans="1:18" ht="13.5" x14ac:dyDescent="0.2">
      <c r="A96" s="67"/>
      <c r="B96" s="68" t="s">
        <v>248</v>
      </c>
      <c r="C96" s="69" t="s">
        <v>122</v>
      </c>
      <c r="D96" s="70">
        <v>3.5523180000000001</v>
      </c>
      <c r="E96" s="235"/>
      <c r="F96" s="238"/>
      <c r="G96" s="239">
        <f t="shared" si="11"/>
        <v>0</v>
      </c>
      <c r="I96" s="16">
        <f>32.2*11.075</f>
        <v>356.61500000000001</v>
      </c>
      <c r="J96" s="16">
        <f>32.2*0.15*2</f>
        <v>9.66</v>
      </c>
      <c r="K96" s="16">
        <f>SUM(I96:J96)</f>
        <v>366.27500000000003</v>
      </c>
      <c r="L96" s="16">
        <f>K96*0.1</f>
        <v>36.627500000000005</v>
      </c>
    </row>
    <row r="97" spans="1:13" x14ac:dyDescent="0.2">
      <c r="A97" s="321" t="s">
        <v>274</v>
      </c>
      <c r="B97" s="64" t="s">
        <v>236</v>
      </c>
      <c r="C97" s="65"/>
      <c r="D97" s="66"/>
      <c r="E97" s="255"/>
      <c r="F97" s="256"/>
      <c r="G97" s="257"/>
    </row>
    <row r="98" spans="1:13" x14ac:dyDescent="0.2">
      <c r="A98" s="75" t="s">
        <v>7</v>
      </c>
      <c r="B98" s="71" t="s">
        <v>206</v>
      </c>
      <c r="C98" s="72"/>
      <c r="D98" s="73"/>
      <c r="E98" s="255"/>
      <c r="F98" s="238"/>
      <c r="G98" s="239">
        <f t="shared" ref="G98:G99" si="12">(D98*E98)+(D98*F98)</f>
        <v>0</v>
      </c>
    </row>
    <row r="99" spans="1:13" ht="13.5" x14ac:dyDescent="0.2">
      <c r="A99" s="67"/>
      <c r="B99" s="68" t="s">
        <v>270</v>
      </c>
      <c r="C99" s="69" t="s">
        <v>122</v>
      </c>
      <c r="D99" s="70">
        <v>0.45899999999999991</v>
      </c>
      <c r="E99" s="235"/>
      <c r="F99" s="238"/>
      <c r="G99" s="239">
        <f t="shared" si="12"/>
        <v>0</v>
      </c>
      <c r="I99" s="16">
        <f>29*8.5</f>
        <v>246.5</v>
      </c>
      <c r="J99" s="16">
        <f>32.2*2.2</f>
        <v>70.840000000000018</v>
      </c>
      <c r="K99" s="16">
        <f>SUM(I99:J99)</f>
        <v>317.34000000000003</v>
      </c>
      <c r="L99" s="16">
        <f>K99*0.15</f>
        <v>47.601000000000006</v>
      </c>
    </row>
    <row r="100" spans="1:13" x14ac:dyDescent="0.2">
      <c r="A100" s="75" t="s">
        <v>235</v>
      </c>
      <c r="B100" s="71" t="s">
        <v>247</v>
      </c>
      <c r="C100" s="72"/>
      <c r="D100" s="73"/>
      <c r="E100" s="255"/>
      <c r="F100" s="238"/>
      <c r="G100" s="239">
        <f t="shared" ref="G100:G101" si="13">(D100*E100)+(D100*F100)</f>
        <v>0</v>
      </c>
    </row>
    <row r="101" spans="1:13" ht="13.5" x14ac:dyDescent="0.2">
      <c r="A101" s="67"/>
      <c r="B101" s="68" t="s">
        <v>248</v>
      </c>
      <c r="C101" s="69" t="s">
        <v>122</v>
      </c>
      <c r="D101" s="70">
        <v>4.2988499999999989</v>
      </c>
      <c r="E101" s="235"/>
      <c r="F101" s="238"/>
      <c r="G101" s="239">
        <f t="shared" si="13"/>
        <v>0</v>
      </c>
      <c r="I101" s="16">
        <f>32.2*11.075</f>
        <v>356.61500000000001</v>
      </c>
      <c r="J101" s="16">
        <f>32.2*0.15*2</f>
        <v>9.66</v>
      </c>
      <c r="K101" s="16">
        <f>SUM(I101:J101)</f>
        <v>366.27500000000003</v>
      </c>
      <c r="L101" s="16">
        <f>K101*0.1</f>
        <v>36.627500000000005</v>
      </c>
    </row>
    <row r="102" spans="1:13" x14ac:dyDescent="0.2">
      <c r="A102" s="321" t="s">
        <v>275</v>
      </c>
      <c r="B102" s="64" t="s">
        <v>195</v>
      </c>
      <c r="C102" s="65"/>
      <c r="D102" s="66"/>
      <c r="E102" s="255"/>
      <c r="F102" s="256"/>
      <c r="G102" s="257"/>
    </row>
    <row r="103" spans="1:13" x14ac:dyDescent="0.2">
      <c r="A103" s="75" t="s">
        <v>7</v>
      </c>
      <c r="B103" s="71" t="s">
        <v>256</v>
      </c>
      <c r="C103" s="72"/>
      <c r="D103" s="73"/>
      <c r="E103" s="255"/>
      <c r="F103" s="238"/>
      <c r="G103" s="239">
        <f t="shared" ref="G103:G104" si="14">(D103*E103)+(D103*F103)</f>
        <v>0</v>
      </c>
    </row>
    <row r="104" spans="1:13" ht="13.5" x14ac:dyDescent="0.2">
      <c r="A104" s="67"/>
      <c r="B104" s="68" t="s">
        <v>270</v>
      </c>
      <c r="C104" s="69" t="s">
        <v>122</v>
      </c>
      <c r="D104" s="70">
        <v>1.0418999999999998</v>
      </c>
      <c r="E104" s="235"/>
      <c r="F104" s="238"/>
      <c r="G104" s="239">
        <f t="shared" si="14"/>
        <v>0</v>
      </c>
      <c r="I104" s="16">
        <f>29*8.5</f>
        <v>246.5</v>
      </c>
      <c r="J104" s="16">
        <f>32.2*2.2</f>
        <v>70.840000000000018</v>
      </c>
      <c r="K104" s="16">
        <f>SUM(I104:J104)</f>
        <v>317.34000000000003</v>
      </c>
      <c r="L104" s="16">
        <f>K104*0.15</f>
        <v>47.601000000000006</v>
      </c>
    </row>
    <row r="105" spans="1:13" x14ac:dyDescent="0.2">
      <c r="A105" s="67"/>
      <c r="B105" s="68"/>
      <c r="C105" s="69"/>
      <c r="D105" s="70"/>
      <c r="E105" s="235"/>
      <c r="F105" s="238"/>
      <c r="G105" s="239"/>
    </row>
    <row r="106" spans="1:13" ht="12.75" thickBot="1" x14ac:dyDescent="0.25">
      <c r="A106" s="67"/>
      <c r="B106" s="68"/>
      <c r="C106" s="69"/>
      <c r="D106" s="70"/>
      <c r="E106" s="235"/>
      <c r="F106" s="238"/>
      <c r="G106" s="239"/>
    </row>
    <row r="107" spans="1:13" x14ac:dyDescent="0.2">
      <c r="A107" s="292"/>
      <c r="B107" s="293"/>
      <c r="C107" s="294"/>
      <c r="D107" s="295"/>
      <c r="E107" s="295"/>
      <c r="F107" s="295"/>
      <c r="G107" s="295"/>
    </row>
    <row r="108" spans="1:13" x14ac:dyDescent="0.2">
      <c r="A108" s="67"/>
      <c r="B108" s="68"/>
      <c r="C108" s="69"/>
      <c r="D108" s="70"/>
      <c r="E108" s="235"/>
      <c r="F108" s="238"/>
      <c r="G108" s="239"/>
    </row>
    <row r="109" spans="1:13" x14ac:dyDescent="0.2">
      <c r="A109" s="320" t="s">
        <v>66</v>
      </c>
      <c r="B109" s="284" t="s">
        <v>12</v>
      </c>
      <c r="C109" s="283"/>
      <c r="D109" s="258"/>
      <c r="E109" s="235"/>
      <c r="F109" s="258"/>
      <c r="G109" s="259"/>
      <c r="M109" s="16" t="e">
        <f>#REF!-#REF!</f>
        <v>#REF!</v>
      </c>
    </row>
    <row r="110" spans="1:13" ht="24" x14ac:dyDescent="0.2">
      <c r="A110" s="52"/>
      <c r="B110" s="74" t="s">
        <v>117</v>
      </c>
      <c r="C110" s="74"/>
      <c r="D110" s="74"/>
      <c r="E110" s="260"/>
      <c r="F110" s="260"/>
      <c r="G110" s="261"/>
    </row>
    <row r="111" spans="1:13" ht="25.5" customHeight="1" x14ac:dyDescent="0.2">
      <c r="A111" s="52"/>
      <c r="B111" s="74" t="s">
        <v>67</v>
      </c>
      <c r="C111" s="74"/>
      <c r="D111" s="74"/>
      <c r="E111" s="260"/>
      <c r="F111" s="260"/>
      <c r="G111" s="261"/>
    </row>
    <row r="112" spans="1:13" ht="48.75" customHeight="1" x14ac:dyDescent="0.2">
      <c r="A112" s="52"/>
      <c r="B112" s="74" t="s">
        <v>68</v>
      </c>
      <c r="C112" s="74"/>
      <c r="D112" s="74"/>
      <c r="E112" s="260"/>
      <c r="F112" s="260"/>
      <c r="G112" s="261"/>
    </row>
    <row r="113" spans="1:12" ht="63.75" customHeight="1" x14ac:dyDescent="0.2">
      <c r="A113" s="52"/>
      <c r="B113" s="93" t="s">
        <v>69</v>
      </c>
      <c r="C113" s="93"/>
      <c r="D113" s="93"/>
      <c r="E113" s="262"/>
      <c r="F113" s="262"/>
      <c r="G113" s="263"/>
    </row>
    <row r="114" spans="1:12" ht="13.5" customHeight="1" x14ac:dyDescent="0.2">
      <c r="A114" s="321" t="s">
        <v>276</v>
      </c>
      <c r="B114" s="64" t="s">
        <v>59</v>
      </c>
      <c r="C114" s="65"/>
      <c r="D114" s="66"/>
      <c r="E114" s="255"/>
      <c r="F114" s="256"/>
      <c r="G114" s="257"/>
    </row>
    <row r="115" spans="1:12" s="17" customFormat="1" ht="15" x14ac:dyDescent="0.25">
      <c r="A115" s="75" t="s">
        <v>7</v>
      </c>
      <c r="B115" s="88" t="s">
        <v>246</v>
      </c>
      <c r="C115" s="94" t="s">
        <v>124</v>
      </c>
      <c r="D115" s="55">
        <v>4.4159999999999995</v>
      </c>
      <c r="E115" s="235"/>
      <c r="F115" s="247"/>
      <c r="G115" s="248">
        <f t="shared" ref="G115" si="15">(D115*E115)+(D115*F115)</f>
        <v>0</v>
      </c>
      <c r="J115" s="42"/>
    </row>
    <row r="116" spans="1:12" x14ac:dyDescent="0.2">
      <c r="A116" s="321" t="s">
        <v>277</v>
      </c>
      <c r="B116" s="64" t="s">
        <v>62</v>
      </c>
      <c r="C116" s="65"/>
      <c r="D116" s="66"/>
      <c r="E116" s="255"/>
      <c r="F116" s="256"/>
      <c r="G116" s="257"/>
    </row>
    <row r="117" spans="1:12" x14ac:dyDescent="0.2">
      <c r="A117" s="75" t="s">
        <v>7</v>
      </c>
      <c r="B117" s="71" t="s">
        <v>247</v>
      </c>
      <c r="C117" s="72"/>
      <c r="D117" s="73"/>
      <c r="E117" s="255"/>
      <c r="F117" s="238"/>
      <c r="G117" s="239">
        <f t="shared" ref="G117:G119" si="16">(D117*E117)+(D117*F117)</f>
        <v>0</v>
      </c>
    </row>
    <row r="118" spans="1:12" ht="13.5" x14ac:dyDescent="0.2">
      <c r="A118" s="67"/>
      <c r="B118" s="68" t="s">
        <v>269</v>
      </c>
      <c r="C118" s="94" t="s">
        <v>124</v>
      </c>
      <c r="D118" s="70">
        <v>13.939999999999998</v>
      </c>
      <c r="E118" s="235"/>
      <c r="F118" s="238"/>
      <c r="G118" s="239">
        <f t="shared" si="16"/>
        <v>0</v>
      </c>
      <c r="I118" s="16">
        <f>32.2*11.075</f>
        <v>356.61500000000001</v>
      </c>
      <c r="J118" s="16">
        <f>32.2*0.15*2</f>
        <v>9.66</v>
      </c>
      <c r="K118" s="16">
        <f>SUM(I118:J118)</f>
        <v>366.27500000000003</v>
      </c>
      <c r="L118" s="16">
        <f>K118*0.1</f>
        <v>36.627500000000005</v>
      </c>
    </row>
    <row r="119" spans="1:12" ht="13.5" x14ac:dyDescent="0.2">
      <c r="A119" s="67"/>
      <c r="B119" s="68" t="s">
        <v>248</v>
      </c>
      <c r="C119" s="94" t="s">
        <v>124</v>
      </c>
      <c r="D119" s="70">
        <v>61.232399999999998</v>
      </c>
      <c r="E119" s="235"/>
      <c r="F119" s="238"/>
      <c r="G119" s="239">
        <f t="shared" si="16"/>
        <v>0</v>
      </c>
      <c r="I119" s="16">
        <f>32.2*11.075</f>
        <v>356.61500000000001</v>
      </c>
      <c r="J119" s="16">
        <f>32.2*0.15*2</f>
        <v>9.66</v>
      </c>
      <c r="K119" s="16">
        <f>SUM(I119:J119)</f>
        <v>366.27500000000003</v>
      </c>
      <c r="L119" s="16">
        <f>K119*0.1</f>
        <v>36.627500000000005</v>
      </c>
    </row>
    <row r="120" spans="1:12" x14ac:dyDescent="0.2">
      <c r="A120" s="321" t="s">
        <v>278</v>
      </c>
      <c r="B120" s="64" t="s">
        <v>64</v>
      </c>
      <c r="C120" s="65"/>
      <c r="D120" s="66"/>
      <c r="E120" s="255"/>
      <c r="F120" s="256"/>
      <c r="G120" s="257"/>
    </row>
    <row r="121" spans="1:12" x14ac:dyDescent="0.2">
      <c r="A121" s="75" t="s">
        <v>7</v>
      </c>
      <c r="B121" s="71" t="s">
        <v>206</v>
      </c>
      <c r="C121" s="72"/>
      <c r="D121" s="73"/>
      <c r="E121" s="255"/>
      <c r="F121" s="238"/>
      <c r="G121" s="239">
        <f t="shared" ref="G121:G122" si="17">(D121*E121)+(D121*F121)</f>
        <v>0</v>
      </c>
    </row>
    <row r="122" spans="1:12" ht="13.5" x14ac:dyDescent="0.2">
      <c r="A122" s="67"/>
      <c r="B122" s="68" t="s">
        <v>270</v>
      </c>
      <c r="C122" s="94" t="s">
        <v>124</v>
      </c>
      <c r="D122" s="70">
        <v>3.0599999999999996</v>
      </c>
      <c r="E122" s="235"/>
      <c r="F122" s="238"/>
      <c r="G122" s="239">
        <f t="shared" si="17"/>
        <v>0</v>
      </c>
      <c r="I122" s="16">
        <f>29*8.5</f>
        <v>246.5</v>
      </c>
      <c r="J122" s="16">
        <f>32.2*2.2</f>
        <v>70.840000000000018</v>
      </c>
      <c r="K122" s="16">
        <f>SUM(I122:J122)</f>
        <v>317.34000000000003</v>
      </c>
      <c r="L122" s="16">
        <f>K122*0.15</f>
        <v>47.601000000000006</v>
      </c>
    </row>
    <row r="123" spans="1:12" x14ac:dyDescent="0.2">
      <c r="A123" s="75" t="s">
        <v>235</v>
      </c>
      <c r="B123" s="71" t="s">
        <v>247</v>
      </c>
      <c r="C123" s="72"/>
      <c r="D123" s="73"/>
      <c r="E123" s="255"/>
      <c r="F123" s="238"/>
      <c r="G123" s="239">
        <f t="shared" ref="G123:G124" si="18">(D123*E123)+(D123*F123)</f>
        <v>0</v>
      </c>
    </row>
    <row r="124" spans="1:12" ht="13.5" x14ac:dyDescent="0.2">
      <c r="A124" s="67"/>
      <c r="B124" s="68" t="s">
        <v>248</v>
      </c>
      <c r="C124" s="94" t="s">
        <v>124</v>
      </c>
      <c r="D124" s="70">
        <v>47.364240000000002</v>
      </c>
      <c r="E124" s="235"/>
      <c r="F124" s="238"/>
      <c r="G124" s="239">
        <f t="shared" si="18"/>
        <v>0</v>
      </c>
      <c r="I124" s="16">
        <f>32.2*11.075</f>
        <v>356.61500000000001</v>
      </c>
      <c r="J124" s="16">
        <f>32.2*0.15*2</f>
        <v>9.66</v>
      </c>
      <c r="K124" s="16">
        <f>SUM(I124:J124)</f>
        <v>366.27500000000003</v>
      </c>
      <c r="L124" s="16">
        <f>K124*0.1</f>
        <v>36.627500000000005</v>
      </c>
    </row>
    <row r="125" spans="1:12" x14ac:dyDescent="0.2">
      <c r="A125" s="321" t="s">
        <v>279</v>
      </c>
      <c r="B125" s="64" t="s">
        <v>236</v>
      </c>
      <c r="C125" s="65"/>
      <c r="D125" s="66"/>
      <c r="E125" s="255"/>
      <c r="F125" s="256"/>
      <c r="G125" s="257"/>
    </row>
    <row r="126" spans="1:12" x14ac:dyDescent="0.2">
      <c r="A126" s="75" t="s">
        <v>7</v>
      </c>
      <c r="B126" s="71" t="s">
        <v>206</v>
      </c>
      <c r="C126" s="72"/>
      <c r="D126" s="73"/>
      <c r="E126" s="255"/>
      <c r="F126" s="238"/>
      <c r="G126" s="239">
        <f t="shared" ref="G126:G127" si="19">(D126*E126)+(D126*F126)</f>
        <v>0</v>
      </c>
    </row>
    <row r="127" spans="1:12" ht="13.5" x14ac:dyDescent="0.2">
      <c r="A127" s="67"/>
      <c r="B127" s="68" t="s">
        <v>270</v>
      </c>
      <c r="C127" s="94" t="s">
        <v>124</v>
      </c>
      <c r="D127" s="70">
        <v>3.0599999999999996</v>
      </c>
      <c r="E127" s="235"/>
      <c r="F127" s="238"/>
      <c r="G127" s="239">
        <f t="shared" si="19"/>
        <v>0</v>
      </c>
      <c r="I127" s="16">
        <f>29*8.5</f>
        <v>246.5</v>
      </c>
      <c r="J127" s="16">
        <f>32.2*2.2</f>
        <v>70.840000000000018</v>
      </c>
      <c r="K127" s="16">
        <f>SUM(I127:J127)</f>
        <v>317.34000000000003</v>
      </c>
      <c r="L127" s="16">
        <f>K127*0.15</f>
        <v>47.601000000000006</v>
      </c>
    </row>
    <row r="128" spans="1:12" x14ac:dyDescent="0.2">
      <c r="A128" s="75" t="s">
        <v>235</v>
      </c>
      <c r="B128" s="71" t="s">
        <v>247</v>
      </c>
      <c r="C128" s="72"/>
      <c r="D128" s="73"/>
      <c r="E128" s="255"/>
      <c r="F128" s="238"/>
      <c r="G128" s="239">
        <f t="shared" ref="G128:G129" si="20">(D128*E128)+(D128*F128)</f>
        <v>0</v>
      </c>
    </row>
    <row r="129" spans="1:14" ht="13.5" x14ac:dyDescent="0.2">
      <c r="A129" s="67"/>
      <c r="B129" s="68" t="s">
        <v>248</v>
      </c>
      <c r="C129" s="94" t="s">
        <v>124</v>
      </c>
      <c r="D129" s="70">
        <v>57.317999999999998</v>
      </c>
      <c r="E129" s="235"/>
      <c r="F129" s="238"/>
      <c r="G129" s="239">
        <f t="shared" si="20"/>
        <v>0</v>
      </c>
      <c r="I129" s="16">
        <f>32.2*11.075</f>
        <v>356.61500000000001</v>
      </c>
      <c r="J129" s="16">
        <f>32.2*0.15*2</f>
        <v>9.66</v>
      </c>
      <c r="K129" s="16">
        <f>SUM(I129:J129)</f>
        <v>366.27500000000003</v>
      </c>
      <c r="L129" s="16">
        <f>K129*0.1</f>
        <v>36.627500000000005</v>
      </c>
    </row>
    <row r="130" spans="1:14" x14ac:dyDescent="0.2">
      <c r="A130" s="321" t="s">
        <v>280</v>
      </c>
      <c r="B130" s="64" t="s">
        <v>195</v>
      </c>
      <c r="C130" s="65"/>
      <c r="D130" s="66"/>
      <c r="E130" s="255"/>
      <c r="F130" s="256"/>
      <c r="G130" s="257"/>
    </row>
    <row r="131" spans="1:14" x14ac:dyDescent="0.2">
      <c r="A131" s="75" t="s">
        <v>7</v>
      </c>
      <c r="B131" s="71" t="s">
        <v>206</v>
      </c>
      <c r="C131" s="72"/>
      <c r="D131" s="73"/>
      <c r="E131" s="255"/>
      <c r="F131" s="238"/>
      <c r="G131" s="239">
        <f t="shared" ref="G131:G132" si="21">(D131*E131)+(D131*F131)</f>
        <v>0</v>
      </c>
    </row>
    <row r="132" spans="1:14" ht="13.5" x14ac:dyDescent="0.2">
      <c r="A132" s="67"/>
      <c r="B132" s="68" t="s">
        <v>270</v>
      </c>
      <c r="C132" s="94" t="s">
        <v>124</v>
      </c>
      <c r="D132" s="70">
        <v>6.9459999999999997</v>
      </c>
      <c r="E132" s="235"/>
      <c r="F132" s="238"/>
      <c r="G132" s="239">
        <f t="shared" si="21"/>
        <v>0</v>
      </c>
      <c r="I132" s="16">
        <f>29*8.5</f>
        <v>246.5</v>
      </c>
      <c r="J132" s="16">
        <f>32.2*2.2</f>
        <v>70.840000000000018</v>
      </c>
      <c r="K132" s="16">
        <f>SUM(I132:J132)</f>
        <v>317.34000000000003</v>
      </c>
      <c r="L132" s="16">
        <f>K132*0.15</f>
        <v>47.601000000000006</v>
      </c>
    </row>
    <row r="133" spans="1:14" x14ac:dyDescent="0.2">
      <c r="A133" s="67"/>
      <c r="B133" s="68"/>
      <c r="C133" s="94"/>
      <c r="D133" s="70"/>
      <c r="E133" s="235"/>
      <c r="F133" s="238"/>
      <c r="G133" s="239"/>
    </row>
    <row r="134" spans="1:14" x14ac:dyDescent="0.2">
      <c r="A134" s="67"/>
      <c r="B134" s="68"/>
      <c r="C134" s="94"/>
      <c r="D134" s="70"/>
      <c r="E134" s="235"/>
      <c r="F134" s="238"/>
      <c r="G134" s="239"/>
    </row>
    <row r="135" spans="1:14" ht="12.75" thickBot="1" x14ac:dyDescent="0.25">
      <c r="A135" s="204"/>
      <c r="B135" s="205"/>
      <c r="C135" s="207"/>
      <c r="D135" s="206"/>
      <c r="E135" s="206"/>
      <c r="F135" s="206"/>
      <c r="G135" s="206"/>
    </row>
    <row r="136" spans="1:14" x14ac:dyDescent="0.2">
      <c r="A136" s="105"/>
      <c r="B136" s="179"/>
      <c r="C136" s="180"/>
      <c r="D136" s="178"/>
      <c r="E136" s="178"/>
      <c r="F136" s="178"/>
      <c r="G136" s="178"/>
    </row>
    <row r="137" spans="1:14" s="277" customFormat="1" x14ac:dyDescent="0.2">
      <c r="A137" s="320" t="s">
        <v>93</v>
      </c>
      <c r="B137" s="284" t="s">
        <v>11</v>
      </c>
      <c r="C137" s="283"/>
      <c r="D137" s="258"/>
      <c r="E137" s="235"/>
      <c r="F137" s="258"/>
      <c r="G137" s="259"/>
    </row>
    <row r="138" spans="1:14" ht="48" x14ac:dyDescent="0.2">
      <c r="A138" s="75"/>
      <c r="B138" s="93" t="s">
        <v>94</v>
      </c>
      <c r="C138" s="93"/>
      <c r="D138" s="93"/>
      <c r="E138" s="262"/>
      <c r="F138" s="262"/>
      <c r="G138" s="263"/>
    </row>
    <row r="139" spans="1:14" ht="36" x14ac:dyDescent="0.2">
      <c r="A139" s="59"/>
      <c r="B139" s="93" t="s">
        <v>95</v>
      </c>
      <c r="C139" s="93"/>
      <c r="D139" s="93"/>
      <c r="E139" s="262"/>
      <c r="F139" s="262"/>
      <c r="G139" s="263"/>
    </row>
    <row r="140" spans="1:14" ht="48" x14ac:dyDescent="0.2">
      <c r="A140" s="75"/>
      <c r="B140" s="93" t="s">
        <v>204</v>
      </c>
      <c r="C140" s="93"/>
      <c r="D140" s="93"/>
      <c r="E140" s="262"/>
      <c r="F140" s="262"/>
      <c r="G140" s="263"/>
    </row>
    <row r="141" spans="1:14" x14ac:dyDescent="0.2">
      <c r="A141" s="321" t="s">
        <v>281</v>
      </c>
      <c r="B141" s="64" t="s">
        <v>176</v>
      </c>
      <c r="C141" s="95"/>
      <c r="D141" s="96"/>
      <c r="E141" s="245"/>
      <c r="F141" s="238"/>
      <c r="G141" s="239"/>
    </row>
    <row r="142" spans="1:14" s="40" customFormat="1" x14ac:dyDescent="0.2">
      <c r="A142" s="75" t="s">
        <v>7</v>
      </c>
      <c r="B142" s="64" t="s">
        <v>59</v>
      </c>
      <c r="C142" s="95"/>
      <c r="D142" s="275"/>
      <c r="E142" s="276"/>
      <c r="F142" s="247"/>
      <c r="G142" s="248"/>
    </row>
    <row r="143" spans="1:14" x14ac:dyDescent="0.2">
      <c r="A143" s="75"/>
      <c r="B143" s="88" t="s">
        <v>246</v>
      </c>
      <c r="C143" s="69"/>
      <c r="D143" s="55"/>
      <c r="E143" s="235"/>
      <c r="F143" s="238"/>
      <c r="G143" s="239">
        <f t="shared" ref="G143" si="22">(D143*E143)+(D143*F143)</f>
        <v>0</v>
      </c>
      <c r="I143" s="24">
        <f>32.2*4+4.02*2+4.08*2+1.8*2</f>
        <v>148.6</v>
      </c>
      <c r="J143" s="21">
        <f>I143*0.25*0.45</f>
        <v>16.717500000000001</v>
      </c>
      <c r="K143" s="21"/>
      <c r="L143" s="46"/>
      <c r="M143" s="19"/>
      <c r="N143" s="46"/>
    </row>
    <row r="144" spans="1:14" x14ac:dyDescent="0.2">
      <c r="A144" s="67"/>
      <c r="B144" s="68" t="s">
        <v>177</v>
      </c>
      <c r="C144" s="69" t="s">
        <v>9</v>
      </c>
      <c r="D144" s="55">
        <v>91.966666666666683</v>
      </c>
      <c r="E144" s="245"/>
      <c r="F144" s="238"/>
      <c r="G144" s="239">
        <f t="shared" ref="G144:G148" si="23">(D144*E144)+(D144*F144)</f>
        <v>0</v>
      </c>
      <c r="I144" s="24">
        <f>0.617*D144*6</f>
        <v>340.46060000000006</v>
      </c>
      <c r="K144" s="16">
        <f>K70*7</f>
        <v>0</v>
      </c>
      <c r="L144" s="16">
        <f>K144/6</f>
        <v>0</v>
      </c>
      <c r="M144" s="16">
        <f>L144/6</f>
        <v>0</v>
      </c>
    </row>
    <row r="145" spans="1:15" x14ac:dyDescent="0.2">
      <c r="A145" s="75" t="s">
        <v>235</v>
      </c>
      <c r="B145" s="71" t="s">
        <v>247</v>
      </c>
      <c r="C145" s="72"/>
      <c r="D145" s="73"/>
      <c r="E145" s="255"/>
      <c r="F145" s="238"/>
      <c r="G145" s="239">
        <f t="shared" si="23"/>
        <v>0</v>
      </c>
    </row>
    <row r="146" spans="1:15" x14ac:dyDescent="0.2">
      <c r="A146" s="75"/>
      <c r="B146" s="104" t="s">
        <v>269</v>
      </c>
      <c r="C146" s="69"/>
      <c r="D146" s="55"/>
      <c r="E146" s="235"/>
      <c r="F146" s="238"/>
      <c r="G146" s="239">
        <f t="shared" si="23"/>
        <v>0</v>
      </c>
      <c r="I146" s="16">
        <f>32.2*11.075</f>
        <v>356.61500000000001</v>
      </c>
      <c r="J146" s="16">
        <f>32.2*0.15*2</f>
        <v>9.66</v>
      </c>
      <c r="K146" s="16">
        <f>SUM(I146:J146)</f>
        <v>366.27500000000003</v>
      </c>
      <c r="L146" s="16">
        <f>K146*0.1</f>
        <v>36.627500000000005</v>
      </c>
    </row>
    <row r="147" spans="1:15" x14ac:dyDescent="0.2">
      <c r="A147" s="67"/>
      <c r="B147" s="68" t="s">
        <v>254</v>
      </c>
      <c r="C147" s="69" t="s">
        <v>9</v>
      </c>
      <c r="D147" s="55">
        <v>40.671999999999997</v>
      </c>
      <c r="E147" s="245"/>
      <c r="F147" s="238"/>
      <c r="G147" s="239">
        <f t="shared" si="23"/>
        <v>0</v>
      </c>
      <c r="I147" s="24">
        <f>0.617*D147*6</f>
        <v>150.567744</v>
      </c>
      <c r="K147" s="16">
        <f>K68*7</f>
        <v>0</v>
      </c>
      <c r="L147" s="16">
        <f>K147/6</f>
        <v>0</v>
      </c>
      <c r="M147" s="16">
        <f>L147/6</f>
        <v>0</v>
      </c>
    </row>
    <row r="148" spans="1:15" x14ac:dyDescent="0.2">
      <c r="A148" s="67"/>
      <c r="B148" s="68" t="s">
        <v>253</v>
      </c>
      <c r="C148" s="69" t="s">
        <v>9</v>
      </c>
      <c r="D148" s="55">
        <v>40.671999999999997</v>
      </c>
      <c r="E148" s="245"/>
      <c r="F148" s="238"/>
      <c r="G148" s="239">
        <f t="shared" si="23"/>
        <v>0</v>
      </c>
      <c r="I148" s="24">
        <f>0.617*D148*6</f>
        <v>150.567744</v>
      </c>
      <c r="K148" s="16">
        <f>K69*7</f>
        <v>0</v>
      </c>
      <c r="L148" s="16">
        <f>K148/6</f>
        <v>0</v>
      </c>
      <c r="M148" s="16">
        <f>L148/6</f>
        <v>0</v>
      </c>
    </row>
    <row r="149" spans="1:15" x14ac:dyDescent="0.2">
      <c r="A149" s="321" t="s">
        <v>282</v>
      </c>
      <c r="B149" s="64" t="s">
        <v>62</v>
      </c>
      <c r="C149" s="95"/>
      <c r="D149" s="96"/>
      <c r="E149" s="245"/>
      <c r="F149" s="238"/>
      <c r="G149" s="239">
        <f t="shared" ref="G149" si="24">(D149*E149)+(D149*F149)</f>
        <v>0</v>
      </c>
    </row>
    <row r="150" spans="1:15" x14ac:dyDescent="0.2">
      <c r="A150" s="75" t="s">
        <v>7</v>
      </c>
      <c r="B150" s="71" t="s">
        <v>164</v>
      </c>
      <c r="C150" s="72"/>
      <c r="D150" s="73"/>
      <c r="E150" s="255"/>
      <c r="F150" s="238"/>
      <c r="G150" s="239">
        <f t="shared" ref="G150:G153" si="25">(D150*E150)+(D150*F150)</f>
        <v>0</v>
      </c>
    </row>
    <row r="151" spans="1:15" x14ac:dyDescent="0.2">
      <c r="A151" s="67"/>
      <c r="B151" s="68" t="s">
        <v>178</v>
      </c>
      <c r="C151" s="69" t="s">
        <v>9</v>
      </c>
      <c r="D151" s="55">
        <v>17.731999999999999</v>
      </c>
      <c r="E151" s="245"/>
      <c r="F151" s="238"/>
      <c r="G151" s="239">
        <f t="shared" si="25"/>
        <v>0</v>
      </c>
      <c r="I151" s="24">
        <f>0.617*D151*6</f>
        <v>65.643863999999994</v>
      </c>
      <c r="K151" s="16">
        <f>K88*7</f>
        <v>2563.9250000000002</v>
      </c>
      <c r="L151" s="16">
        <f>K151/6</f>
        <v>427.32083333333338</v>
      </c>
      <c r="M151" s="16">
        <f>L151/6</f>
        <v>71.220138888888897</v>
      </c>
    </row>
    <row r="152" spans="1:15" x14ac:dyDescent="0.2">
      <c r="A152" s="75" t="s">
        <v>235</v>
      </c>
      <c r="B152" s="71" t="s">
        <v>247</v>
      </c>
      <c r="C152" s="72"/>
      <c r="D152" s="73"/>
      <c r="E152" s="255"/>
      <c r="F152" s="238"/>
      <c r="G152" s="239">
        <f t="shared" si="25"/>
        <v>0</v>
      </c>
    </row>
    <row r="153" spans="1:15" x14ac:dyDescent="0.2">
      <c r="A153" s="75"/>
      <c r="B153" s="104" t="s">
        <v>248</v>
      </c>
      <c r="C153" s="69"/>
      <c r="D153" s="55"/>
      <c r="E153" s="235"/>
      <c r="F153" s="238"/>
      <c r="G153" s="239">
        <f t="shared" si="25"/>
        <v>0</v>
      </c>
      <c r="I153" s="16">
        <f>32.2*11.075</f>
        <v>356.61500000000001</v>
      </c>
      <c r="J153" s="16">
        <f>32.2*0.15*2</f>
        <v>9.66</v>
      </c>
      <c r="K153" s="16">
        <f>SUM(I153:J153)</f>
        <v>366.27500000000003</v>
      </c>
      <c r="L153" s="16">
        <f>K153*0.1</f>
        <v>36.627500000000005</v>
      </c>
    </row>
    <row r="154" spans="1:15" x14ac:dyDescent="0.2">
      <c r="A154" s="67"/>
      <c r="B154" s="68" t="s">
        <v>254</v>
      </c>
      <c r="C154" s="69" t="s">
        <v>9</v>
      </c>
      <c r="D154" s="55">
        <v>126.54696</v>
      </c>
      <c r="E154" s="245"/>
      <c r="F154" s="238"/>
      <c r="G154" s="239">
        <f t="shared" ref="G154:G155" si="26">(D154*E154)+(D154*F154)</f>
        <v>0</v>
      </c>
      <c r="I154" s="24">
        <f>0.617*D154*6</f>
        <v>468.47684592000002</v>
      </c>
      <c r="K154" s="16" t="e">
        <f>#REF!*7</f>
        <v>#REF!</v>
      </c>
      <c r="L154" s="16" t="e">
        <f>K154/6</f>
        <v>#REF!</v>
      </c>
      <c r="M154" s="16" t="e">
        <f>L154/6</f>
        <v>#REF!</v>
      </c>
    </row>
    <row r="155" spans="1:15" x14ac:dyDescent="0.2">
      <c r="A155" s="67"/>
      <c r="B155" s="68" t="s">
        <v>253</v>
      </c>
      <c r="C155" s="69" t="s">
        <v>9</v>
      </c>
      <c r="D155" s="55">
        <v>126.54696</v>
      </c>
      <c r="E155" s="245"/>
      <c r="F155" s="238"/>
      <c r="G155" s="239">
        <f t="shared" si="26"/>
        <v>0</v>
      </c>
      <c r="I155" s="24">
        <f>0.617*D155*6</f>
        <v>468.47684592000002</v>
      </c>
      <c r="K155" s="16" t="e">
        <f>#REF!*7</f>
        <v>#REF!</v>
      </c>
      <c r="L155" s="16" t="e">
        <f>K155/6</f>
        <v>#REF!</v>
      </c>
      <c r="M155" s="16" t="e">
        <f>L155/6</f>
        <v>#REF!</v>
      </c>
    </row>
    <row r="156" spans="1:15" x14ac:dyDescent="0.2">
      <c r="A156" s="321" t="s">
        <v>283</v>
      </c>
      <c r="B156" s="64" t="s">
        <v>64</v>
      </c>
      <c r="C156" s="95"/>
      <c r="D156" s="96"/>
      <c r="E156" s="245"/>
      <c r="F156" s="238"/>
      <c r="G156" s="239">
        <f t="shared" ref="G156" si="27">(D156*E156)+(D156*F156)</f>
        <v>0</v>
      </c>
    </row>
    <row r="157" spans="1:15" x14ac:dyDescent="0.2">
      <c r="A157" s="75" t="s">
        <v>7</v>
      </c>
      <c r="B157" s="97" t="s">
        <v>206</v>
      </c>
      <c r="C157" s="98"/>
      <c r="D157" s="99"/>
      <c r="E157" s="255"/>
      <c r="F157" s="238"/>
      <c r="G157" s="239">
        <f t="shared" ref="G157:G158" si="28">(D157*E157)+(D157*F157)</f>
        <v>0</v>
      </c>
      <c r="H157" s="30"/>
      <c r="I157" s="27"/>
      <c r="K157" s="16" t="e">
        <f>#REF!</f>
        <v>#REF!</v>
      </c>
      <c r="L157" s="16" t="e">
        <f>K157*14</f>
        <v>#REF!</v>
      </c>
      <c r="M157" s="16" t="e">
        <f>L157*75%</f>
        <v>#REF!</v>
      </c>
      <c r="N157" s="16" t="e">
        <f>L157+M157</f>
        <v>#REF!</v>
      </c>
      <c r="O157" s="16" t="e">
        <f>N157/6</f>
        <v>#REF!</v>
      </c>
    </row>
    <row r="158" spans="1:15" x14ac:dyDescent="0.2">
      <c r="A158" s="100" t="s">
        <v>147</v>
      </c>
      <c r="B158" s="68" t="s">
        <v>178</v>
      </c>
      <c r="C158" s="69" t="s">
        <v>9</v>
      </c>
      <c r="D158" s="55">
        <v>50.591999999999999</v>
      </c>
      <c r="E158" s="245"/>
      <c r="F158" s="238"/>
      <c r="G158" s="239">
        <f t="shared" si="28"/>
        <v>0</v>
      </c>
      <c r="H158" s="30"/>
      <c r="I158" s="24">
        <f>0.617*D158*6</f>
        <v>187.291584</v>
      </c>
    </row>
    <row r="159" spans="1:15" x14ac:dyDescent="0.2">
      <c r="A159" s="75" t="s">
        <v>235</v>
      </c>
      <c r="B159" s="71" t="s">
        <v>247</v>
      </c>
      <c r="C159" s="72"/>
      <c r="D159" s="73"/>
      <c r="E159" s="255"/>
      <c r="F159" s="238"/>
      <c r="G159" s="239">
        <f t="shared" ref="G159:G163" si="29">(D159*E159)+(D159*F159)</f>
        <v>0</v>
      </c>
    </row>
    <row r="160" spans="1:15" x14ac:dyDescent="0.2">
      <c r="A160" s="75"/>
      <c r="B160" s="104" t="s">
        <v>255</v>
      </c>
      <c r="C160" s="69"/>
      <c r="D160" s="55"/>
      <c r="E160" s="235"/>
      <c r="F160" s="238"/>
      <c r="G160" s="239">
        <f t="shared" si="29"/>
        <v>0</v>
      </c>
      <c r="I160" s="16">
        <f>32.2*11.075</f>
        <v>356.61500000000001</v>
      </c>
      <c r="J160" s="16">
        <f>32.2*0.15*2</f>
        <v>9.66</v>
      </c>
      <c r="K160" s="16">
        <f>SUM(I160:J160)</f>
        <v>366.27500000000003</v>
      </c>
      <c r="L160" s="16">
        <f>K160*0.1</f>
        <v>36.627500000000005</v>
      </c>
    </row>
    <row r="161" spans="1:15" x14ac:dyDescent="0.2">
      <c r="A161" s="67"/>
      <c r="B161" s="68" t="s">
        <v>254</v>
      </c>
      <c r="C161" s="69" t="s">
        <v>9</v>
      </c>
      <c r="D161" s="55">
        <v>97.886095999999995</v>
      </c>
      <c r="E161" s="245"/>
      <c r="F161" s="238"/>
      <c r="G161" s="239">
        <f t="shared" si="29"/>
        <v>0</v>
      </c>
      <c r="I161" s="24">
        <f>0.617*D161*6</f>
        <v>362.374327392</v>
      </c>
      <c r="K161" s="16" t="e">
        <f>#REF!*7</f>
        <v>#REF!</v>
      </c>
      <c r="L161" s="16" t="e">
        <f>K161/6</f>
        <v>#REF!</v>
      </c>
      <c r="M161" s="16" t="e">
        <f>L161/6</f>
        <v>#REF!</v>
      </c>
    </row>
    <row r="162" spans="1:15" x14ac:dyDescent="0.2">
      <c r="A162" s="67"/>
      <c r="B162" s="68" t="s">
        <v>253</v>
      </c>
      <c r="C162" s="69" t="s">
        <v>9</v>
      </c>
      <c r="D162" s="55">
        <v>97.886095999999995</v>
      </c>
      <c r="E162" s="245"/>
      <c r="F162" s="238"/>
      <c r="G162" s="239">
        <f t="shared" si="29"/>
        <v>0</v>
      </c>
      <c r="I162" s="24">
        <f>0.617*D162*6</f>
        <v>362.374327392</v>
      </c>
      <c r="K162" s="16">
        <f>K100*7</f>
        <v>0</v>
      </c>
      <c r="L162" s="16">
        <f>K162/6</f>
        <v>0</v>
      </c>
      <c r="M162" s="16">
        <f>L162/6</f>
        <v>0</v>
      </c>
    </row>
    <row r="163" spans="1:15" x14ac:dyDescent="0.2">
      <c r="A163" s="321" t="s">
        <v>284</v>
      </c>
      <c r="B163" s="64" t="s">
        <v>236</v>
      </c>
      <c r="C163" s="95"/>
      <c r="D163" s="96"/>
      <c r="E163" s="245"/>
      <c r="F163" s="238"/>
      <c r="G163" s="239">
        <f t="shared" si="29"/>
        <v>0</v>
      </c>
    </row>
    <row r="164" spans="1:15" x14ac:dyDescent="0.2">
      <c r="A164" s="75" t="s">
        <v>7</v>
      </c>
      <c r="B164" s="97" t="s">
        <v>206</v>
      </c>
      <c r="C164" s="98"/>
      <c r="D164" s="99"/>
      <c r="E164" s="255"/>
      <c r="F164" s="238"/>
      <c r="G164" s="239">
        <f t="shared" ref="G164:G165" si="30">(D164*E164)+(D164*F164)</f>
        <v>0</v>
      </c>
      <c r="H164" s="30"/>
      <c r="I164" s="27"/>
      <c r="K164" s="16" t="e">
        <f>#REF!</f>
        <v>#REF!</v>
      </c>
      <c r="L164" s="16" t="e">
        <f>K164*14</f>
        <v>#REF!</v>
      </c>
      <c r="M164" s="16" t="e">
        <f>L164*75%</f>
        <v>#REF!</v>
      </c>
      <c r="N164" s="16" t="e">
        <f>L164+M164</f>
        <v>#REF!</v>
      </c>
      <c r="O164" s="16" t="e">
        <f>N164/6</f>
        <v>#REF!</v>
      </c>
    </row>
    <row r="165" spans="1:15" x14ac:dyDescent="0.2">
      <c r="A165" s="100" t="s">
        <v>147</v>
      </c>
      <c r="B165" s="68" t="s">
        <v>178</v>
      </c>
      <c r="C165" s="69" t="s">
        <v>9</v>
      </c>
      <c r="D165" s="55">
        <v>50.591999999999999</v>
      </c>
      <c r="E165" s="245"/>
      <c r="F165" s="238"/>
      <c r="G165" s="239">
        <f t="shared" si="30"/>
        <v>0</v>
      </c>
      <c r="H165" s="30"/>
      <c r="I165" s="24">
        <f>0.617*D165*6</f>
        <v>187.291584</v>
      </c>
    </row>
    <row r="166" spans="1:15" x14ac:dyDescent="0.2">
      <c r="A166" s="75" t="s">
        <v>235</v>
      </c>
      <c r="B166" s="71" t="s">
        <v>247</v>
      </c>
      <c r="C166" s="72"/>
      <c r="D166" s="73"/>
      <c r="E166" s="255"/>
      <c r="F166" s="238"/>
      <c r="G166" s="239">
        <f t="shared" ref="G166:G169" si="31">(D166*E166)+(D166*F166)</f>
        <v>0</v>
      </c>
    </row>
    <row r="167" spans="1:15" x14ac:dyDescent="0.2">
      <c r="A167" s="75"/>
      <c r="B167" s="104" t="s">
        <v>255</v>
      </c>
      <c r="C167" s="69"/>
      <c r="D167" s="55"/>
      <c r="E167" s="235"/>
      <c r="F167" s="238"/>
      <c r="G167" s="239">
        <f t="shared" si="31"/>
        <v>0</v>
      </c>
      <c r="I167" s="16">
        <f>32.2*11.075</f>
        <v>356.61500000000001</v>
      </c>
      <c r="J167" s="16">
        <f>32.2*0.15*2</f>
        <v>9.66</v>
      </c>
      <c r="K167" s="16">
        <f>SUM(I167:J167)</f>
        <v>366.27500000000003</v>
      </c>
      <c r="L167" s="16">
        <f>K167*0.1</f>
        <v>36.627500000000005</v>
      </c>
    </row>
    <row r="168" spans="1:15" x14ac:dyDescent="0.2">
      <c r="A168" s="67"/>
      <c r="B168" s="68" t="s">
        <v>254</v>
      </c>
      <c r="C168" s="69" t="s">
        <v>9</v>
      </c>
      <c r="D168" s="55">
        <v>1.581</v>
      </c>
      <c r="E168" s="245"/>
      <c r="F168" s="238"/>
      <c r="G168" s="239">
        <f t="shared" si="31"/>
        <v>0</v>
      </c>
      <c r="I168" s="24">
        <f>0.617*D168*6</f>
        <v>5.852862</v>
      </c>
      <c r="K168" s="16" t="e">
        <f>#REF!*7</f>
        <v>#REF!</v>
      </c>
      <c r="L168" s="16" t="e">
        <f>K168/6</f>
        <v>#REF!</v>
      </c>
      <c r="M168" s="16" t="e">
        <f>L168/6</f>
        <v>#REF!</v>
      </c>
    </row>
    <row r="169" spans="1:15" x14ac:dyDescent="0.2">
      <c r="A169" s="67"/>
      <c r="B169" s="68" t="s">
        <v>253</v>
      </c>
      <c r="C169" s="69" t="s">
        <v>9</v>
      </c>
      <c r="D169" s="55">
        <v>1.581</v>
      </c>
      <c r="E169" s="245"/>
      <c r="F169" s="238"/>
      <c r="G169" s="239">
        <f t="shared" si="31"/>
        <v>0</v>
      </c>
      <c r="I169" s="24">
        <f>0.617*D169*6</f>
        <v>5.852862</v>
      </c>
      <c r="K169" s="16" t="e">
        <f>#REF!*7</f>
        <v>#REF!</v>
      </c>
      <c r="L169" s="16" t="e">
        <f>K169/6</f>
        <v>#REF!</v>
      </c>
      <c r="M169" s="16" t="e">
        <f>L169/6</f>
        <v>#REF!</v>
      </c>
    </row>
    <row r="170" spans="1:15" x14ac:dyDescent="0.2">
      <c r="A170" s="321" t="s">
        <v>285</v>
      </c>
      <c r="B170" s="64" t="s">
        <v>195</v>
      </c>
      <c r="C170" s="95"/>
      <c r="D170" s="96"/>
      <c r="E170" s="245"/>
      <c r="F170" s="238"/>
      <c r="G170" s="239">
        <f t="shared" ref="G170" si="32">(D170*E170)+(D170*F170)</f>
        <v>0</v>
      </c>
    </row>
    <row r="171" spans="1:15" x14ac:dyDescent="0.2">
      <c r="A171" s="75" t="s">
        <v>7</v>
      </c>
      <c r="B171" s="97" t="s">
        <v>256</v>
      </c>
      <c r="C171" s="98"/>
      <c r="D171" s="99"/>
      <c r="E171" s="255"/>
      <c r="F171" s="238"/>
      <c r="G171" s="239">
        <f t="shared" ref="G171:G172" si="33">(D171*E171)+(D171*F171)</f>
        <v>0</v>
      </c>
      <c r="H171" s="30"/>
      <c r="I171" s="27"/>
      <c r="K171" s="16" t="e">
        <f>#REF!</f>
        <v>#REF!</v>
      </c>
      <c r="L171" s="16" t="e">
        <f>K171*14</f>
        <v>#REF!</v>
      </c>
      <c r="M171" s="16" t="e">
        <f>L171*75%</f>
        <v>#REF!</v>
      </c>
      <c r="N171" s="16" t="e">
        <f>L171+M171</f>
        <v>#REF!</v>
      </c>
      <c r="O171" s="16" t="e">
        <f>N171/6</f>
        <v>#REF!</v>
      </c>
    </row>
    <row r="172" spans="1:15" x14ac:dyDescent="0.2">
      <c r="A172" s="100" t="s">
        <v>147</v>
      </c>
      <c r="B172" s="68" t="s">
        <v>178</v>
      </c>
      <c r="C172" s="69" t="s">
        <v>9</v>
      </c>
      <c r="D172" s="55">
        <v>114.84053333333333</v>
      </c>
      <c r="E172" s="245"/>
      <c r="F172" s="238"/>
      <c r="G172" s="239">
        <f t="shared" si="33"/>
        <v>0</v>
      </c>
      <c r="H172" s="30"/>
      <c r="I172" s="24">
        <f>0.617*D172*6</f>
        <v>425.13965439999998</v>
      </c>
    </row>
    <row r="173" spans="1:15" x14ac:dyDescent="0.2">
      <c r="A173" s="67"/>
      <c r="B173" s="68"/>
      <c r="C173" s="69"/>
      <c r="D173" s="70"/>
      <c r="E173" s="245"/>
      <c r="F173" s="238"/>
      <c r="G173" s="239"/>
      <c r="I173" s="24"/>
      <c r="J173" s="24"/>
    </row>
    <row r="174" spans="1:15" x14ac:dyDescent="0.2">
      <c r="A174" s="67"/>
      <c r="B174" s="68"/>
      <c r="C174" s="69"/>
      <c r="D174" s="70"/>
      <c r="E174" s="245"/>
      <c r="F174" s="238"/>
      <c r="G174" s="239"/>
      <c r="I174" s="24"/>
      <c r="J174" s="24"/>
    </row>
    <row r="175" spans="1:15" x14ac:dyDescent="0.2">
      <c r="A175" s="67"/>
      <c r="B175" s="68"/>
      <c r="C175" s="69"/>
      <c r="D175" s="70"/>
      <c r="E175" s="245"/>
      <c r="F175" s="238"/>
      <c r="G175" s="239"/>
      <c r="I175" s="24"/>
      <c r="J175" s="24"/>
    </row>
    <row r="176" spans="1:15" x14ac:dyDescent="0.2">
      <c r="A176" s="67"/>
      <c r="B176" s="68"/>
      <c r="C176" s="69"/>
      <c r="D176" s="70"/>
      <c r="E176" s="245"/>
      <c r="F176" s="238"/>
      <c r="G176" s="239"/>
      <c r="I176" s="24"/>
      <c r="J176" s="24"/>
    </row>
    <row r="177" spans="1:13" x14ac:dyDescent="0.2">
      <c r="A177" s="67"/>
      <c r="B177" s="68"/>
      <c r="C177" s="69"/>
      <c r="D177" s="70"/>
      <c r="E177" s="245"/>
      <c r="F177" s="238"/>
      <c r="G177" s="239"/>
      <c r="I177" s="24"/>
      <c r="J177" s="24"/>
    </row>
    <row r="178" spans="1:13" x14ac:dyDescent="0.2">
      <c r="A178" s="67"/>
      <c r="B178" s="68"/>
      <c r="C178" s="69"/>
      <c r="D178" s="70"/>
      <c r="E178" s="245"/>
      <c r="F178" s="238"/>
      <c r="G178" s="239"/>
      <c r="I178" s="24"/>
      <c r="J178" s="24"/>
    </row>
    <row r="179" spans="1:13" ht="12.75" thickBot="1" x14ac:dyDescent="0.25">
      <c r="A179" s="204"/>
      <c r="B179" s="205"/>
      <c r="C179" s="176"/>
      <c r="D179" s="206"/>
      <c r="E179" s="206"/>
      <c r="F179" s="206"/>
      <c r="G179" s="206"/>
      <c r="I179" s="24"/>
      <c r="J179" s="24"/>
    </row>
    <row r="180" spans="1:13" x14ac:dyDescent="0.2">
      <c r="A180" s="105"/>
      <c r="B180" s="179"/>
      <c r="C180" s="177"/>
      <c r="D180" s="178"/>
      <c r="E180" s="245"/>
      <c r="F180" s="238"/>
      <c r="G180" s="239"/>
      <c r="I180" s="24"/>
      <c r="J180" s="24"/>
    </row>
    <row r="181" spans="1:13" x14ac:dyDescent="0.2">
      <c r="A181" s="321" t="s">
        <v>286</v>
      </c>
      <c r="B181" s="64" t="s">
        <v>159</v>
      </c>
      <c r="C181" s="95"/>
      <c r="D181" s="96"/>
      <c r="E181" s="96"/>
      <c r="F181" s="96"/>
      <c r="G181" s="96"/>
    </row>
    <row r="182" spans="1:13" x14ac:dyDescent="0.2">
      <c r="A182" s="102" t="s">
        <v>150</v>
      </c>
      <c r="B182" s="71" t="s">
        <v>207</v>
      </c>
      <c r="C182" s="69"/>
      <c r="D182" s="70"/>
      <c r="E182" s="245"/>
      <c r="F182" s="238"/>
      <c r="G182" s="239">
        <f t="shared" ref="G182:G185" si="34">(D182*E182)+(D182*F182)</f>
        <v>0</v>
      </c>
    </row>
    <row r="183" spans="1:13" ht="48" x14ac:dyDescent="0.2">
      <c r="A183" s="102"/>
      <c r="B183" s="68" t="s">
        <v>208</v>
      </c>
      <c r="C183" s="69" t="s">
        <v>14</v>
      </c>
      <c r="D183" s="70">
        <v>1</v>
      </c>
      <c r="E183" s="245"/>
      <c r="F183" s="238"/>
      <c r="G183" s="239">
        <f t="shared" si="34"/>
        <v>0</v>
      </c>
      <c r="I183" s="16">
        <f>25.725*0.2*0.2*2*2</f>
        <v>4.1160000000000005</v>
      </c>
      <c r="J183" s="16">
        <f>0.375*0.125*25.723*2*2</f>
        <v>4.8230624999999998</v>
      </c>
      <c r="K183" s="16">
        <f>26.4*0.15*0.15*2</f>
        <v>1.1879999999999997</v>
      </c>
      <c r="M183" s="16">
        <f>SUM(I183:L183)</f>
        <v>10.127062500000001</v>
      </c>
    </row>
    <row r="184" spans="1:13" x14ac:dyDescent="0.2">
      <c r="A184" s="102" t="s">
        <v>151</v>
      </c>
      <c r="B184" s="71" t="s">
        <v>288</v>
      </c>
      <c r="C184" s="69"/>
      <c r="D184" s="70"/>
      <c r="E184" s="245"/>
      <c r="F184" s="238"/>
      <c r="G184" s="239">
        <f t="shared" si="34"/>
        <v>0</v>
      </c>
    </row>
    <row r="185" spans="1:13" ht="60" x14ac:dyDescent="0.2">
      <c r="A185" s="102"/>
      <c r="B185" s="68" t="s">
        <v>289</v>
      </c>
      <c r="C185" s="69" t="s">
        <v>14</v>
      </c>
      <c r="D185" s="70">
        <v>1</v>
      </c>
      <c r="E185" s="245"/>
      <c r="F185" s="238"/>
      <c r="G185" s="239">
        <f t="shared" si="34"/>
        <v>0</v>
      </c>
      <c r="I185" s="16">
        <f>30+3.6</f>
        <v>33.6</v>
      </c>
      <c r="J185" s="16">
        <f>I185*0.85*0.1</f>
        <v>2.8559999999999999</v>
      </c>
    </row>
    <row r="186" spans="1:13" x14ac:dyDescent="0.2">
      <c r="A186" s="67" t="s">
        <v>287</v>
      </c>
      <c r="B186" s="71" t="s">
        <v>191</v>
      </c>
      <c r="C186" s="69"/>
      <c r="D186" s="70"/>
      <c r="E186" s="245"/>
      <c r="F186" s="238"/>
      <c r="G186" s="239">
        <f t="shared" ref="G186:G189" si="35">(D186*E186)+(D186*F186)</f>
        <v>0</v>
      </c>
    </row>
    <row r="187" spans="1:13" ht="36" x14ac:dyDescent="0.2">
      <c r="A187" s="102" t="s">
        <v>60</v>
      </c>
      <c r="B187" s="68" t="s">
        <v>220</v>
      </c>
      <c r="C187" s="69" t="s">
        <v>14</v>
      </c>
      <c r="D187" s="70">
        <v>1</v>
      </c>
      <c r="E187" s="245"/>
      <c r="F187" s="238"/>
      <c r="G187" s="239">
        <f t="shared" si="35"/>
        <v>0</v>
      </c>
      <c r="J187" s="24"/>
    </row>
    <row r="188" spans="1:13" ht="36" x14ac:dyDescent="0.2">
      <c r="A188" s="102" t="s">
        <v>61</v>
      </c>
      <c r="B188" s="68" t="s">
        <v>221</v>
      </c>
      <c r="C188" s="69" t="s">
        <v>14</v>
      </c>
      <c r="D188" s="70">
        <v>1</v>
      </c>
      <c r="E188" s="245"/>
      <c r="F188" s="238"/>
      <c r="G188" s="239">
        <f t="shared" si="35"/>
        <v>0</v>
      </c>
    </row>
    <row r="189" spans="1:13" ht="36" x14ac:dyDescent="0.2">
      <c r="A189" s="102" t="s">
        <v>65</v>
      </c>
      <c r="B189" s="68" t="s">
        <v>222</v>
      </c>
      <c r="C189" s="69" t="s">
        <v>14</v>
      </c>
      <c r="D189" s="70">
        <v>1</v>
      </c>
      <c r="E189" s="245"/>
      <c r="F189" s="238"/>
      <c r="G189" s="239">
        <f t="shared" si="35"/>
        <v>0</v>
      </c>
      <c r="I189" s="24"/>
      <c r="J189" s="39"/>
      <c r="K189" s="39"/>
      <c r="L189" s="24"/>
      <c r="M189" s="39"/>
    </row>
    <row r="190" spans="1:13" x14ac:dyDescent="0.2">
      <c r="A190" s="67"/>
      <c r="B190" s="104"/>
      <c r="C190" s="72"/>
      <c r="D190" s="73"/>
      <c r="E190" s="245"/>
      <c r="F190" s="238"/>
      <c r="G190" s="239"/>
      <c r="I190" s="39"/>
      <c r="J190" s="39"/>
      <c r="K190" s="39"/>
      <c r="L190" s="39"/>
      <c r="M190" s="39"/>
    </row>
    <row r="191" spans="1:13" x14ac:dyDescent="0.2">
      <c r="A191" s="67"/>
      <c r="B191" s="104"/>
      <c r="C191" s="72"/>
      <c r="D191" s="73"/>
      <c r="E191" s="245"/>
      <c r="F191" s="238"/>
      <c r="G191" s="239"/>
      <c r="I191" s="39"/>
      <c r="J191" s="39"/>
      <c r="K191" s="39"/>
      <c r="L191" s="39"/>
      <c r="M191" s="39"/>
    </row>
    <row r="192" spans="1:13" x14ac:dyDescent="0.2">
      <c r="A192" s="67"/>
      <c r="B192" s="104"/>
      <c r="C192" s="72"/>
      <c r="D192" s="73"/>
      <c r="E192" s="245"/>
      <c r="F192" s="238"/>
      <c r="G192" s="239"/>
      <c r="I192" s="39"/>
      <c r="J192" s="39"/>
      <c r="K192" s="39"/>
      <c r="L192" s="39"/>
      <c r="M192" s="39"/>
    </row>
    <row r="193" spans="1:13" x14ac:dyDescent="0.2">
      <c r="A193" s="67"/>
      <c r="B193" s="104"/>
      <c r="C193" s="72"/>
      <c r="D193" s="73"/>
      <c r="E193" s="245"/>
      <c r="F193" s="238"/>
      <c r="G193" s="239"/>
      <c r="I193" s="39"/>
      <c r="J193" s="39"/>
      <c r="K193" s="39"/>
      <c r="L193" s="39"/>
      <c r="M193" s="39"/>
    </row>
    <row r="194" spans="1:13" x14ac:dyDescent="0.2">
      <c r="A194" s="67"/>
      <c r="B194" s="104"/>
      <c r="C194" s="72"/>
      <c r="D194" s="73"/>
      <c r="E194" s="245"/>
      <c r="F194" s="238"/>
      <c r="G194" s="239"/>
      <c r="I194" s="39"/>
      <c r="J194" s="39"/>
      <c r="K194" s="39"/>
      <c r="L194" s="39"/>
      <c r="M194" s="39"/>
    </row>
    <row r="195" spans="1:13" x14ac:dyDescent="0.2">
      <c r="A195" s="67"/>
      <c r="B195" s="104"/>
      <c r="C195" s="72"/>
      <c r="D195" s="73"/>
      <c r="E195" s="245"/>
      <c r="F195" s="238"/>
      <c r="G195" s="239"/>
      <c r="I195" s="39"/>
      <c r="J195" s="39"/>
      <c r="K195" s="39"/>
      <c r="L195" s="39"/>
      <c r="M195" s="39"/>
    </row>
    <row r="196" spans="1:13" x14ac:dyDescent="0.2">
      <c r="A196" s="67"/>
      <c r="B196" s="104"/>
      <c r="C196" s="72"/>
      <c r="D196" s="73"/>
      <c r="E196" s="245"/>
      <c r="F196" s="238"/>
      <c r="G196" s="239"/>
      <c r="I196" s="39"/>
      <c r="J196" s="39"/>
      <c r="K196" s="39"/>
      <c r="L196" s="39"/>
      <c r="M196" s="39"/>
    </row>
    <row r="197" spans="1:13" x14ac:dyDescent="0.2">
      <c r="A197" s="67"/>
      <c r="B197" s="104"/>
      <c r="C197" s="72"/>
      <c r="D197" s="73"/>
      <c r="E197" s="245"/>
      <c r="F197" s="238"/>
      <c r="G197" s="239"/>
      <c r="I197" s="39"/>
      <c r="J197" s="39"/>
      <c r="K197" s="39"/>
      <c r="L197" s="39"/>
      <c r="M197" s="39"/>
    </row>
    <row r="198" spans="1:13" x14ac:dyDescent="0.2">
      <c r="A198" s="67"/>
      <c r="B198" s="104"/>
      <c r="C198" s="72"/>
      <c r="D198" s="73"/>
      <c r="E198" s="245"/>
      <c r="F198" s="238"/>
      <c r="G198" s="239"/>
      <c r="I198" s="39"/>
      <c r="J198" s="39"/>
      <c r="K198" s="39"/>
      <c r="L198" s="39"/>
      <c r="M198" s="39"/>
    </row>
    <row r="199" spans="1:13" x14ac:dyDescent="0.2">
      <c r="A199" s="67"/>
      <c r="B199" s="104"/>
      <c r="C199" s="72"/>
      <c r="D199" s="73"/>
      <c r="E199" s="245"/>
      <c r="F199" s="238"/>
      <c r="G199" s="239"/>
      <c r="I199" s="39"/>
      <c r="J199" s="39"/>
      <c r="K199" s="39"/>
      <c r="L199" s="39"/>
      <c r="M199" s="39"/>
    </row>
    <row r="200" spans="1:13" x14ac:dyDescent="0.2">
      <c r="A200" s="67"/>
      <c r="B200" s="104"/>
      <c r="C200" s="72"/>
      <c r="D200" s="73"/>
      <c r="E200" s="245"/>
      <c r="F200" s="238"/>
      <c r="G200" s="239"/>
      <c r="I200" s="39"/>
      <c r="J200" s="39"/>
      <c r="K200" s="39"/>
      <c r="L200" s="39"/>
      <c r="M200" s="39"/>
    </row>
    <row r="201" spans="1:13" x14ac:dyDescent="0.2">
      <c r="A201" s="67"/>
      <c r="B201" s="104"/>
      <c r="C201" s="72"/>
      <c r="D201" s="73"/>
      <c r="E201" s="245"/>
      <c r="F201" s="238"/>
      <c r="G201" s="239"/>
      <c r="I201" s="39"/>
      <c r="J201" s="39"/>
      <c r="K201" s="39"/>
      <c r="L201" s="39"/>
      <c r="M201" s="39"/>
    </row>
    <row r="202" spans="1:13" x14ac:dyDescent="0.2">
      <c r="A202" s="67"/>
      <c r="B202" s="104"/>
      <c r="C202" s="72"/>
      <c r="D202" s="73"/>
      <c r="E202" s="245"/>
      <c r="F202" s="238"/>
      <c r="G202" s="239"/>
      <c r="I202" s="39"/>
      <c r="J202" s="39"/>
      <c r="K202" s="39"/>
      <c r="L202" s="39"/>
      <c r="M202" s="39"/>
    </row>
    <row r="203" spans="1:13" x14ac:dyDescent="0.2">
      <c r="A203" s="67"/>
      <c r="B203" s="104"/>
      <c r="C203" s="72"/>
      <c r="D203" s="73"/>
      <c r="E203" s="245"/>
      <c r="F203" s="238"/>
      <c r="G203" s="239"/>
      <c r="I203" s="39"/>
      <c r="J203" s="39"/>
      <c r="K203" s="39"/>
      <c r="L203" s="39"/>
      <c r="M203" s="39"/>
    </row>
    <row r="204" spans="1:13" ht="12.75" thickBot="1" x14ac:dyDescent="0.25">
      <c r="A204" s="67"/>
      <c r="B204" s="104"/>
      <c r="C204" s="72"/>
      <c r="D204" s="73"/>
      <c r="E204" s="245"/>
      <c r="F204" s="238"/>
      <c r="G204" s="239"/>
      <c r="I204" s="39"/>
      <c r="J204" s="39"/>
      <c r="K204" s="39"/>
      <c r="L204" s="39"/>
      <c r="M204" s="39"/>
    </row>
    <row r="205" spans="1:13" x14ac:dyDescent="0.2">
      <c r="A205" s="194"/>
      <c r="B205" s="195" t="s">
        <v>131</v>
      </c>
      <c r="C205" s="202"/>
      <c r="D205" s="197"/>
      <c r="E205" s="299"/>
      <c r="F205" s="300"/>
      <c r="G205" s="301"/>
    </row>
    <row r="206" spans="1:13" ht="12.75" thickBot="1" x14ac:dyDescent="0.25">
      <c r="A206" s="198"/>
      <c r="B206" s="199" t="s">
        <v>145</v>
      </c>
      <c r="C206" s="203"/>
      <c r="D206" s="201"/>
      <c r="E206" s="296"/>
      <c r="F206" s="302"/>
      <c r="G206" s="303">
        <f>SUM(G81:G189)</f>
        <v>0</v>
      </c>
    </row>
    <row r="207" spans="1:13" x14ac:dyDescent="0.2">
      <c r="A207" s="52"/>
      <c r="B207" s="136"/>
      <c r="C207" s="54"/>
      <c r="D207" s="55"/>
      <c r="E207" s="235"/>
      <c r="F207" s="238"/>
      <c r="G207" s="257"/>
    </row>
    <row r="208" spans="1:13" x14ac:dyDescent="0.2">
      <c r="A208" s="52"/>
      <c r="B208" s="106" t="s">
        <v>96</v>
      </c>
      <c r="C208" s="54"/>
      <c r="D208" s="55"/>
      <c r="E208" s="235"/>
      <c r="F208" s="238"/>
      <c r="G208" s="239"/>
    </row>
    <row r="209" spans="1:13" x14ac:dyDescent="0.2">
      <c r="A209" s="52"/>
      <c r="B209" s="76" t="s">
        <v>97</v>
      </c>
      <c r="C209" s="54"/>
      <c r="D209" s="55"/>
      <c r="E209" s="235"/>
      <c r="F209" s="238"/>
      <c r="G209" s="239"/>
    </row>
    <row r="210" spans="1:13" x14ac:dyDescent="0.2">
      <c r="A210" s="52">
        <v>4.0999999999999996</v>
      </c>
      <c r="B210" s="131" t="s">
        <v>40</v>
      </c>
      <c r="C210" s="54"/>
      <c r="D210" s="55"/>
      <c r="E210" s="235"/>
      <c r="F210" s="238"/>
      <c r="G210" s="239"/>
    </row>
    <row r="211" spans="1:13" ht="60" x14ac:dyDescent="0.2">
      <c r="A211" s="52"/>
      <c r="B211" s="93" t="s">
        <v>161</v>
      </c>
      <c r="C211" s="93"/>
      <c r="D211" s="93"/>
      <c r="E211" s="262"/>
      <c r="F211" s="262"/>
      <c r="G211" s="263"/>
    </row>
    <row r="212" spans="1:13" ht="72" x14ac:dyDescent="0.2">
      <c r="A212" s="52"/>
      <c r="B212" s="93" t="s">
        <v>160</v>
      </c>
      <c r="C212" s="107"/>
      <c r="D212" s="107"/>
      <c r="E212" s="264"/>
      <c r="F212" s="264"/>
      <c r="G212" s="265"/>
    </row>
    <row r="213" spans="1:13" ht="36" x14ac:dyDescent="0.2">
      <c r="A213" s="52"/>
      <c r="B213" s="93" t="s">
        <v>194</v>
      </c>
      <c r="C213" s="107"/>
      <c r="D213" s="107"/>
      <c r="E213" s="264"/>
      <c r="F213" s="264"/>
      <c r="G213" s="265"/>
    </row>
    <row r="214" spans="1:13" x14ac:dyDescent="0.2">
      <c r="A214" s="67" t="s">
        <v>290</v>
      </c>
      <c r="B214" s="132" t="s">
        <v>118</v>
      </c>
      <c r="C214" s="69"/>
      <c r="D214" s="70"/>
      <c r="E214" s="245"/>
      <c r="F214" s="238"/>
      <c r="G214" s="239"/>
    </row>
    <row r="215" spans="1:13" x14ac:dyDescent="0.2">
      <c r="A215" s="321" t="s">
        <v>291</v>
      </c>
      <c r="B215" s="133" t="s">
        <v>62</v>
      </c>
      <c r="C215" s="65"/>
      <c r="D215" s="66"/>
      <c r="E215" s="255"/>
      <c r="F215" s="256"/>
      <c r="G215" s="257"/>
    </row>
    <row r="216" spans="1:13" x14ac:dyDescent="0.2">
      <c r="A216" s="67" t="s">
        <v>137</v>
      </c>
      <c r="B216" s="134" t="s">
        <v>209</v>
      </c>
      <c r="C216" s="72"/>
      <c r="D216" s="73"/>
      <c r="E216" s="255"/>
      <c r="F216" s="256"/>
      <c r="G216" s="239">
        <f t="shared" ref="G216:G217" si="36">(D216*E216)+(D216*F216)</f>
        <v>0</v>
      </c>
    </row>
    <row r="217" spans="1:13" ht="24" x14ac:dyDescent="0.2">
      <c r="A217" s="102" t="s">
        <v>150</v>
      </c>
      <c r="B217" s="68" t="s">
        <v>237</v>
      </c>
      <c r="C217" s="69" t="s">
        <v>123</v>
      </c>
      <c r="D217" s="70">
        <v>0.98999999999999988</v>
      </c>
      <c r="E217" s="245"/>
      <c r="F217" s="238"/>
      <c r="G217" s="239">
        <f t="shared" si="36"/>
        <v>0</v>
      </c>
      <c r="I217" s="16">
        <f>3*19+4.02*2+4.08*2</f>
        <v>73.199999999999989</v>
      </c>
      <c r="J217" s="16">
        <f>I217*3.275</f>
        <v>239.72999999999996</v>
      </c>
      <c r="K217" s="39">
        <v>81</v>
      </c>
      <c r="L217" s="16">
        <f>J217-K217</f>
        <v>158.72999999999996</v>
      </c>
      <c r="M217" s="16">
        <f>L217*103%</f>
        <v>163.49189999999996</v>
      </c>
    </row>
    <row r="218" spans="1:13" x14ac:dyDescent="0.2">
      <c r="A218" s="67"/>
      <c r="B218" s="135"/>
      <c r="C218" s="69"/>
      <c r="D218" s="70"/>
      <c r="E218" s="245"/>
      <c r="F218" s="238"/>
      <c r="G218" s="239"/>
    </row>
    <row r="219" spans="1:13" x14ac:dyDescent="0.2">
      <c r="A219" s="321" t="s">
        <v>292</v>
      </c>
      <c r="B219" s="133" t="s">
        <v>64</v>
      </c>
      <c r="C219" s="65"/>
      <c r="D219" s="66"/>
      <c r="E219" s="255"/>
      <c r="F219" s="256"/>
      <c r="G219" s="257"/>
    </row>
    <row r="220" spans="1:13" x14ac:dyDescent="0.2">
      <c r="A220" s="67" t="s">
        <v>137</v>
      </c>
      <c r="B220" s="134" t="s">
        <v>209</v>
      </c>
      <c r="C220" s="72"/>
      <c r="D220" s="73"/>
      <c r="E220" s="255"/>
      <c r="F220" s="256"/>
      <c r="G220" s="239">
        <f t="shared" ref="G220:G221" si="37">(D220*E220)+(D220*F220)</f>
        <v>0</v>
      </c>
    </row>
    <row r="221" spans="1:13" ht="24" x14ac:dyDescent="0.2">
      <c r="A221" s="102" t="s">
        <v>150</v>
      </c>
      <c r="B221" s="68" t="s">
        <v>237</v>
      </c>
      <c r="C221" s="69" t="s">
        <v>123</v>
      </c>
      <c r="D221" s="70">
        <v>16.77</v>
      </c>
      <c r="E221" s="245"/>
      <c r="F221" s="238"/>
      <c r="G221" s="239">
        <f t="shared" si="37"/>
        <v>0</v>
      </c>
      <c r="I221" s="16">
        <f>3*19+4.02*2+4.08*2</f>
        <v>73.199999999999989</v>
      </c>
      <c r="J221" s="16">
        <f>I221*3.1</f>
        <v>226.91999999999996</v>
      </c>
      <c r="K221" s="39">
        <v>85</v>
      </c>
      <c r="L221" s="16">
        <f>J221-K221</f>
        <v>141.91999999999996</v>
      </c>
      <c r="M221" s="16">
        <f>L221*103%</f>
        <v>146.17759999999996</v>
      </c>
    </row>
    <row r="222" spans="1:13" x14ac:dyDescent="0.2">
      <c r="A222" s="67"/>
      <c r="B222" s="135"/>
      <c r="C222" s="69"/>
      <c r="D222" s="70"/>
      <c r="E222" s="245"/>
      <c r="F222" s="238"/>
      <c r="G222" s="239"/>
      <c r="K222" s="24"/>
      <c r="L222" s="24"/>
    </row>
    <row r="223" spans="1:13" x14ac:dyDescent="0.2">
      <c r="A223" s="321" t="s">
        <v>293</v>
      </c>
      <c r="B223" s="133" t="s">
        <v>236</v>
      </c>
      <c r="C223" s="65"/>
      <c r="D223" s="66"/>
      <c r="E223" s="255"/>
      <c r="F223" s="256"/>
      <c r="G223" s="257"/>
    </row>
    <row r="224" spans="1:13" x14ac:dyDescent="0.2">
      <c r="A224" s="67" t="s">
        <v>137</v>
      </c>
      <c r="B224" s="134" t="s">
        <v>209</v>
      </c>
      <c r="C224" s="72"/>
      <c r="D224" s="73"/>
      <c r="E224" s="255"/>
      <c r="F224" s="256"/>
      <c r="G224" s="239">
        <f t="shared" ref="G224:G225" si="38">(D224*E224)+(D224*F224)</f>
        <v>0</v>
      </c>
    </row>
    <row r="225" spans="1:17" ht="24" x14ac:dyDescent="0.2">
      <c r="A225" s="102" t="s">
        <v>150</v>
      </c>
      <c r="B225" s="68" t="s">
        <v>234</v>
      </c>
      <c r="C225" s="69" t="s">
        <v>123</v>
      </c>
      <c r="D225" s="70">
        <v>16.77</v>
      </c>
      <c r="E225" s="245"/>
      <c r="F225" s="238"/>
      <c r="G225" s="239">
        <f t="shared" si="38"/>
        <v>0</v>
      </c>
      <c r="I225" s="16">
        <f>3*19+4.02*2+4.08*2</f>
        <v>73.199999999999989</v>
      </c>
      <c r="J225" s="16">
        <f>I225*3.1</f>
        <v>226.91999999999996</v>
      </c>
      <c r="K225" s="39">
        <v>85</v>
      </c>
      <c r="L225" s="16">
        <f>J225-K225</f>
        <v>141.91999999999996</v>
      </c>
      <c r="M225" s="16">
        <f>L225*103%</f>
        <v>146.17759999999996</v>
      </c>
    </row>
    <row r="226" spans="1:17" x14ac:dyDescent="0.2">
      <c r="A226" s="67"/>
      <c r="B226" s="135"/>
      <c r="C226" s="69"/>
      <c r="D226" s="70"/>
      <c r="E226" s="245"/>
      <c r="F226" s="238"/>
      <c r="G226" s="239"/>
      <c r="K226" s="24"/>
    </row>
    <row r="227" spans="1:17" ht="13.5" customHeight="1" thickBot="1" x14ac:dyDescent="0.25">
      <c r="A227" s="204"/>
      <c r="B227" s="208"/>
      <c r="C227" s="176"/>
      <c r="D227" s="206"/>
      <c r="E227" s="206"/>
      <c r="F227" s="206"/>
      <c r="G227" s="206"/>
      <c r="K227" s="24"/>
    </row>
    <row r="228" spans="1:17" ht="13.5" customHeight="1" x14ac:dyDescent="0.2">
      <c r="A228" s="67"/>
      <c r="B228" s="135"/>
      <c r="C228" s="69"/>
      <c r="D228" s="70"/>
      <c r="E228" s="245"/>
      <c r="F228" s="238"/>
      <c r="G228" s="239"/>
      <c r="K228" s="24"/>
    </row>
    <row r="229" spans="1:17" s="277" customFormat="1" ht="12" customHeight="1" x14ac:dyDescent="0.2">
      <c r="A229" s="320">
        <v>4.3</v>
      </c>
      <c r="B229" s="285" t="s">
        <v>98</v>
      </c>
      <c r="C229" s="283"/>
      <c r="D229" s="258"/>
      <c r="E229" s="235"/>
      <c r="F229" s="258"/>
      <c r="G229" s="266"/>
      <c r="K229" s="286"/>
    </row>
    <row r="230" spans="1:17" ht="105.75" customHeight="1" x14ac:dyDescent="0.2">
      <c r="A230" s="52"/>
      <c r="B230" s="93" t="s">
        <v>156</v>
      </c>
      <c r="C230" s="93"/>
      <c r="D230" s="93"/>
      <c r="E230" s="262"/>
      <c r="F230" s="262"/>
      <c r="G230" s="265"/>
    </row>
    <row r="231" spans="1:17" ht="24.75" customHeight="1" x14ac:dyDescent="0.2">
      <c r="A231" s="52"/>
      <c r="B231" s="93" t="s">
        <v>133</v>
      </c>
      <c r="C231" s="93"/>
      <c r="D231" s="93"/>
      <c r="E231" s="262"/>
      <c r="F231" s="264"/>
      <c r="G231" s="265"/>
    </row>
    <row r="232" spans="1:17" ht="52.5" customHeight="1" x14ac:dyDescent="0.2">
      <c r="A232" s="52"/>
      <c r="B232" s="93" t="s">
        <v>193</v>
      </c>
      <c r="C232" s="93"/>
      <c r="D232" s="93"/>
      <c r="E232" s="262"/>
      <c r="F232" s="264"/>
      <c r="G232" s="265"/>
    </row>
    <row r="233" spans="1:17" ht="12.75" customHeight="1" x14ac:dyDescent="0.2">
      <c r="A233" s="321" t="s">
        <v>260</v>
      </c>
      <c r="B233" s="133" t="s">
        <v>62</v>
      </c>
      <c r="C233" s="65"/>
      <c r="D233" s="66"/>
      <c r="E233" s="255"/>
      <c r="F233" s="256"/>
      <c r="G233" s="257"/>
    </row>
    <row r="234" spans="1:17" ht="12.75" customHeight="1" x14ac:dyDescent="0.2">
      <c r="A234" s="67" t="s">
        <v>137</v>
      </c>
      <c r="B234" s="134" t="s">
        <v>187</v>
      </c>
      <c r="C234" s="72"/>
      <c r="D234" s="73"/>
      <c r="E234" s="255"/>
      <c r="F234" s="267"/>
      <c r="G234" s="239">
        <f t="shared" ref="G234:G235" si="39">(D234*E234)+(D234*F234)</f>
        <v>0</v>
      </c>
      <c r="H234" s="40"/>
      <c r="I234" s="16">
        <f>32.2*2+8.7*2</f>
        <v>81.800000000000011</v>
      </c>
      <c r="J234" s="16">
        <f>I234*3.875</f>
        <v>316.97500000000002</v>
      </c>
      <c r="K234" s="39">
        <v>81</v>
      </c>
      <c r="L234" s="39">
        <f>J234-K234</f>
        <v>235.97500000000002</v>
      </c>
      <c r="M234" s="39">
        <f>L234*103%</f>
        <v>243.05425000000002</v>
      </c>
      <c r="N234" s="16">
        <f>1.5*3.875</f>
        <v>5.8125</v>
      </c>
      <c r="O234" s="39">
        <f>M234-N234</f>
        <v>237.24175000000002</v>
      </c>
      <c r="P234" s="16">
        <f>33.2+4</f>
        <v>37.200000000000003</v>
      </c>
      <c r="Q234" s="16">
        <f>P234*0.65</f>
        <v>24.180000000000003</v>
      </c>
    </row>
    <row r="235" spans="1:17" ht="12.75" customHeight="1" x14ac:dyDescent="0.2">
      <c r="A235" s="67"/>
      <c r="B235" s="135" t="s">
        <v>119</v>
      </c>
      <c r="C235" s="69" t="s">
        <v>123</v>
      </c>
      <c r="D235" s="70">
        <v>0.98999999999999988</v>
      </c>
      <c r="E235" s="245"/>
      <c r="F235" s="238"/>
      <c r="G235" s="239">
        <f t="shared" si="39"/>
        <v>0</v>
      </c>
      <c r="I235" s="16">
        <f>0.45*1.725*9</f>
        <v>6.986250000000001</v>
      </c>
      <c r="P235" s="16">
        <f>0.8*11*3.05</f>
        <v>26.84</v>
      </c>
      <c r="Q235" s="39">
        <f>Q234+O234+P235</f>
        <v>288.26175000000001</v>
      </c>
    </row>
    <row r="236" spans="1:17" ht="12.75" customHeight="1" x14ac:dyDescent="0.2">
      <c r="A236" s="67"/>
      <c r="B236" s="135"/>
      <c r="C236" s="69"/>
      <c r="D236" s="70"/>
      <c r="E236" s="245"/>
      <c r="F236" s="238"/>
      <c r="G236" s="239"/>
    </row>
    <row r="237" spans="1:17" ht="12.75" customHeight="1" x14ac:dyDescent="0.2">
      <c r="A237" s="102" t="s">
        <v>138</v>
      </c>
      <c r="B237" s="104" t="s">
        <v>188</v>
      </c>
      <c r="C237" s="72"/>
      <c r="D237" s="73"/>
      <c r="E237" s="255"/>
      <c r="F237" s="256"/>
      <c r="G237" s="239">
        <f t="shared" ref="G237:G238" si="40">(D237*E237)+(D237*F237)</f>
        <v>0</v>
      </c>
      <c r="I237" s="16">
        <f>8.3*5</f>
        <v>41.5</v>
      </c>
      <c r="J237" s="16">
        <f>I237*3.35*2</f>
        <v>278.05</v>
      </c>
      <c r="L237" s="16">
        <f>6.225*8+3*3+8.5*2</f>
        <v>75.8</v>
      </c>
      <c r="M237" s="16">
        <f>L237*3.35</f>
        <v>253.93</v>
      </c>
      <c r="N237" s="39">
        <f>M237-K234</f>
        <v>172.93</v>
      </c>
    </row>
    <row r="238" spans="1:17" ht="25.5" customHeight="1" x14ac:dyDescent="0.2">
      <c r="A238" s="67"/>
      <c r="B238" s="68" t="s">
        <v>189</v>
      </c>
      <c r="C238" s="69" t="s">
        <v>123</v>
      </c>
      <c r="D238" s="70">
        <v>0.98999999999999988</v>
      </c>
      <c r="E238" s="245"/>
      <c r="F238" s="238"/>
      <c r="G238" s="239">
        <f t="shared" si="40"/>
        <v>0</v>
      </c>
      <c r="I238" s="16">
        <f>3.45+2.75+1.55*5+2.7</f>
        <v>16.649999999999999</v>
      </c>
      <c r="J238" s="16">
        <f>I238*3.35*2</f>
        <v>111.55499999999999</v>
      </c>
      <c r="K238" s="16">
        <f>0.78*2*4</f>
        <v>6.24</v>
      </c>
      <c r="L238" s="16">
        <f>J238-K238</f>
        <v>105.315</v>
      </c>
      <c r="N238" s="39">
        <f>N237+L238+J237</f>
        <v>556.29500000000007</v>
      </c>
      <c r="O238" s="39">
        <f>N238*103%</f>
        <v>572.98385000000007</v>
      </c>
    </row>
    <row r="239" spans="1:17" ht="12.75" customHeight="1" x14ac:dyDescent="0.2">
      <c r="A239" s="102"/>
      <c r="B239" s="104"/>
      <c r="C239" s="72"/>
      <c r="D239" s="73"/>
      <c r="E239" s="255"/>
      <c r="F239" s="256"/>
      <c r="G239" s="239"/>
    </row>
    <row r="240" spans="1:17" ht="12.75" customHeight="1" x14ac:dyDescent="0.2">
      <c r="A240" s="321" t="s">
        <v>261</v>
      </c>
      <c r="B240" s="133" t="s">
        <v>64</v>
      </c>
      <c r="C240" s="65"/>
      <c r="D240" s="66"/>
      <c r="E240" s="255"/>
      <c r="F240" s="256"/>
      <c r="G240" s="257"/>
      <c r="I240" s="16">
        <f>32.2*2+8.7*2</f>
        <v>81.800000000000011</v>
      </c>
      <c r="J240" s="16">
        <f>I240*3.5</f>
        <v>286.30000000000007</v>
      </c>
      <c r="K240" s="39">
        <v>85</v>
      </c>
      <c r="L240" s="39">
        <f>J240-K240</f>
        <v>201.30000000000007</v>
      </c>
      <c r="M240" s="39">
        <f>L240*103%</f>
        <v>207.33900000000008</v>
      </c>
      <c r="N240" s="16">
        <f>3*3.05</f>
        <v>9.1499999999999986</v>
      </c>
      <c r="O240" s="39">
        <f>M240-N240</f>
        <v>198.18900000000008</v>
      </c>
      <c r="P240" s="16">
        <f>33.2+4</f>
        <v>37.200000000000003</v>
      </c>
      <c r="Q240" s="16">
        <f>P240*0.65</f>
        <v>24.180000000000003</v>
      </c>
    </row>
    <row r="241" spans="1:17" ht="12.75" customHeight="1" x14ac:dyDescent="0.2">
      <c r="A241" s="67" t="s">
        <v>137</v>
      </c>
      <c r="B241" s="134" t="s">
        <v>187</v>
      </c>
      <c r="C241" s="72"/>
      <c r="D241" s="73"/>
      <c r="E241" s="255"/>
      <c r="F241" s="267"/>
      <c r="G241" s="239">
        <f t="shared" ref="G241:G244" si="41">(D241*E241)+(D241*F241)</f>
        <v>0</v>
      </c>
      <c r="I241" s="16">
        <f>0.45*1.725*9</f>
        <v>6.986250000000001</v>
      </c>
      <c r="M241" s="16">
        <f>33.6*1.8</f>
        <v>60.480000000000004</v>
      </c>
      <c r="N241" s="39">
        <f>M241+Q241</f>
        <v>309.68900000000008</v>
      </c>
      <c r="P241" s="16">
        <f>0.8*11*3.05</f>
        <v>26.84</v>
      </c>
      <c r="Q241" s="39">
        <f>Q240+O240+P241</f>
        <v>249.20900000000009</v>
      </c>
    </row>
    <row r="242" spans="1:17" ht="12.75" customHeight="1" x14ac:dyDescent="0.2">
      <c r="A242" s="67"/>
      <c r="B242" s="135" t="s">
        <v>238</v>
      </c>
      <c r="C242" s="69" t="s">
        <v>123</v>
      </c>
      <c r="D242" s="70">
        <v>16.77</v>
      </c>
      <c r="E242" s="245"/>
      <c r="F242" s="238"/>
      <c r="G242" s="239">
        <f t="shared" si="41"/>
        <v>0</v>
      </c>
    </row>
    <row r="243" spans="1:17" ht="12.75" customHeight="1" x14ac:dyDescent="0.2">
      <c r="A243" s="102" t="s">
        <v>138</v>
      </c>
      <c r="B243" s="104" t="s">
        <v>188</v>
      </c>
      <c r="C243" s="72"/>
      <c r="D243" s="73"/>
      <c r="E243" s="255"/>
      <c r="F243" s="256"/>
      <c r="G243" s="239">
        <f t="shared" si="41"/>
        <v>0</v>
      </c>
      <c r="I243" s="16">
        <f>8.3*5</f>
        <v>41.5</v>
      </c>
      <c r="J243" s="16">
        <f>I243*3.5*2</f>
        <v>290.5</v>
      </c>
      <c r="L243" s="16">
        <f>6.225*8+3*3+8.5*2</f>
        <v>75.8</v>
      </c>
      <c r="M243" s="16">
        <f>L243*3.5</f>
        <v>265.3</v>
      </c>
      <c r="N243" s="39">
        <f>M243-K240</f>
        <v>180.3</v>
      </c>
    </row>
    <row r="244" spans="1:17" ht="24" customHeight="1" x14ac:dyDescent="0.2">
      <c r="A244" s="67"/>
      <c r="B244" s="68" t="s">
        <v>189</v>
      </c>
      <c r="C244" s="69" t="s">
        <v>123</v>
      </c>
      <c r="D244" s="70">
        <v>16.77</v>
      </c>
      <c r="E244" s="245"/>
      <c r="F244" s="238"/>
      <c r="G244" s="239">
        <f t="shared" si="41"/>
        <v>0</v>
      </c>
      <c r="I244" s="16">
        <f>3.45+2.75+1.55*5+3</f>
        <v>16.95</v>
      </c>
      <c r="J244" s="16">
        <f>I244*3.5*2</f>
        <v>118.64999999999999</v>
      </c>
      <c r="K244" s="16">
        <f>0.78*2*4+0.95*2.83</f>
        <v>8.9284999999999997</v>
      </c>
      <c r="L244" s="16">
        <f>J244-K244</f>
        <v>109.72149999999999</v>
      </c>
      <c r="N244" s="39">
        <f>N243+L244+J243</f>
        <v>580.52150000000006</v>
      </c>
      <c r="O244" s="39">
        <f>N244*103%</f>
        <v>597.9371450000001</v>
      </c>
    </row>
    <row r="245" spans="1:17" ht="12.75" customHeight="1" x14ac:dyDescent="0.2">
      <c r="A245" s="67"/>
      <c r="B245" s="68"/>
      <c r="C245" s="69"/>
      <c r="D245" s="70"/>
      <c r="E245" s="245"/>
      <c r="F245" s="238"/>
      <c r="G245" s="239"/>
      <c r="O245" s="24"/>
      <c r="P245" s="24"/>
    </row>
    <row r="246" spans="1:17" ht="12.75" customHeight="1" x14ac:dyDescent="0.2">
      <c r="A246" s="321" t="s">
        <v>262</v>
      </c>
      <c r="B246" s="133" t="s">
        <v>236</v>
      </c>
      <c r="C246" s="65"/>
      <c r="D246" s="66"/>
      <c r="E246" s="255"/>
      <c r="F246" s="256"/>
      <c r="G246" s="257"/>
      <c r="I246" s="16">
        <f>32.2*2+8.7*2</f>
        <v>81.800000000000011</v>
      </c>
      <c r="J246" s="16">
        <f>I246*3.5</f>
        <v>286.30000000000007</v>
      </c>
      <c r="K246" s="39">
        <v>85</v>
      </c>
      <c r="L246" s="39">
        <f>J246-K246</f>
        <v>201.30000000000007</v>
      </c>
      <c r="M246" s="39">
        <f>L246*103%</f>
        <v>207.33900000000008</v>
      </c>
      <c r="N246" s="16">
        <f>3*3.05</f>
        <v>9.1499999999999986</v>
      </c>
      <c r="O246" s="39">
        <f>M246-N246</f>
        <v>198.18900000000008</v>
      </c>
      <c r="P246" s="16">
        <f>33.2+4</f>
        <v>37.200000000000003</v>
      </c>
      <c r="Q246" s="16">
        <f>P246*0.65</f>
        <v>24.180000000000003</v>
      </c>
    </row>
    <row r="247" spans="1:17" ht="12.75" customHeight="1" x14ac:dyDescent="0.2">
      <c r="A247" s="67" t="s">
        <v>137</v>
      </c>
      <c r="B247" s="134" t="s">
        <v>187</v>
      </c>
      <c r="C247" s="72"/>
      <c r="D247" s="73"/>
      <c r="E247" s="255"/>
      <c r="F247" s="267"/>
      <c r="G247" s="239">
        <f t="shared" ref="G247:G250" si="42">(D247*E247)+(D247*F247)</f>
        <v>0</v>
      </c>
      <c r="I247" s="16">
        <f>0.45*1.725*9</f>
        <v>6.986250000000001</v>
      </c>
      <c r="M247" s="16">
        <f>33.6*1.8</f>
        <v>60.480000000000004</v>
      </c>
      <c r="N247" s="39">
        <f>M247+Q247</f>
        <v>309.68900000000008</v>
      </c>
      <c r="P247" s="16">
        <f>0.8*11*3.05</f>
        <v>26.84</v>
      </c>
      <c r="Q247" s="39">
        <f>Q246+O246+P247</f>
        <v>249.20900000000009</v>
      </c>
    </row>
    <row r="248" spans="1:17" ht="12.75" customHeight="1" x14ac:dyDescent="0.2">
      <c r="A248" s="67"/>
      <c r="B248" s="135" t="s">
        <v>238</v>
      </c>
      <c r="C248" s="69" t="s">
        <v>123</v>
      </c>
      <c r="D248" s="70">
        <v>16.77</v>
      </c>
      <c r="E248" s="245"/>
      <c r="F248" s="238"/>
      <c r="G248" s="239">
        <f t="shared" si="42"/>
        <v>0</v>
      </c>
    </row>
    <row r="249" spans="1:17" ht="12.75" customHeight="1" x14ac:dyDescent="0.2">
      <c r="A249" s="102" t="s">
        <v>138</v>
      </c>
      <c r="B249" s="104" t="s">
        <v>188</v>
      </c>
      <c r="C249" s="72"/>
      <c r="D249" s="73"/>
      <c r="E249" s="255"/>
      <c r="F249" s="256"/>
      <c r="G249" s="239">
        <f t="shared" si="42"/>
        <v>0</v>
      </c>
      <c r="I249" s="16">
        <f>8.3*5</f>
        <v>41.5</v>
      </c>
      <c r="J249" s="16">
        <f>I249*3.5*2</f>
        <v>290.5</v>
      </c>
      <c r="L249" s="16">
        <f>6.225*8+3*3+8.5*2</f>
        <v>75.8</v>
      </c>
      <c r="M249" s="16">
        <f>L249*3.5</f>
        <v>265.3</v>
      </c>
      <c r="N249" s="39">
        <f>M249-K246</f>
        <v>180.3</v>
      </c>
    </row>
    <row r="250" spans="1:17" ht="24" customHeight="1" x14ac:dyDescent="0.2">
      <c r="A250" s="67"/>
      <c r="B250" s="68" t="s">
        <v>189</v>
      </c>
      <c r="C250" s="69" t="s">
        <v>123</v>
      </c>
      <c r="D250" s="70">
        <v>16.77</v>
      </c>
      <c r="E250" s="245"/>
      <c r="F250" s="238"/>
      <c r="G250" s="239">
        <f t="shared" si="42"/>
        <v>0</v>
      </c>
      <c r="I250" s="16">
        <f>3.45+2.75+1.55*5+3</f>
        <v>16.95</v>
      </c>
      <c r="J250" s="16">
        <f>I250*3.5*2</f>
        <v>118.64999999999999</v>
      </c>
      <c r="K250" s="16">
        <f>0.78*2*4+0.95*2.83</f>
        <v>8.9284999999999997</v>
      </c>
      <c r="L250" s="16">
        <f>J250-K250</f>
        <v>109.72149999999999</v>
      </c>
      <c r="N250" s="39">
        <f>N249+L250+J249</f>
        <v>580.52150000000006</v>
      </c>
      <c r="O250" s="39">
        <f>N250*103%</f>
        <v>597.9371450000001</v>
      </c>
    </row>
    <row r="251" spans="1:17" ht="12.75" customHeight="1" x14ac:dyDescent="0.2">
      <c r="A251" s="67"/>
      <c r="B251" s="68"/>
      <c r="C251" s="69"/>
      <c r="D251" s="70"/>
      <c r="E251" s="245"/>
      <c r="F251" s="238"/>
      <c r="G251" s="239"/>
      <c r="O251" s="24"/>
      <c r="P251" s="24"/>
    </row>
    <row r="252" spans="1:17" ht="12.75" customHeight="1" x14ac:dyDescent="0.2">
      <c r="A252" s="102"/>
      <c r="B252" s="104"/>
      <c r="C252" s="69"/>
      <c r="D252" s="70"/>
      <c r="E252" s="245"/>
      <c r="F252" s="238"/>
      <c r="G252" s="239"/>
    </row>
    <row r="253" spans="1:17" x14ac:dyDescent="0.2">
      <c r="A253" s="102"/>
      <c r="B253" s="104"/>
      <c r="C253" s="69"/>
      <c r="D253" s="70"/>
      <c r="E253" s="245"/>
      <c r="F253" s="238"/>
      <c r="G253" s="239"/>
    </row>
    <row r="254" spans="1:17" x14ac:dyDescent="0.2">
      <c r="A254" s="102"/>
      <c r="B254" s="104"/>
      <c r="C254" s="69"/>
      <c r="D254" s="70"/>
      <c r="E254" s="245"/>
      <c r="F254" s="238"/>
      <c r="G254" s="239"/>
    </row>
    <row r="255" spans="1:17" x14ac:dyDescent="0.2">
      <c r="A255" s="102"/>
      <c r="B255" s="104"/>
      <c r="C255" s="69"/>
      <c r="D255" s="70"/>
      <c r="E255" s="245"/>
      <c r="F255" s="238"/>
      <c r="G255" s="239"/>
    </row>
    <row r="256" spans="1:17" ht="12.75" thickBot="1" x14ac:dyDescent="0.25">
      <c r="A256" s="102"/>
      <c r="B256" s="104"/>
      <c r="C256" s="69"/>
      <c r="D256" s="70"/>
      <c r="E256" s="245"/>
      <c r="F256" s="238"/>
      <c r="G256" s="239"/>
    </row>
    <row r="257" spans="1:13" x14ac:dyDescent="0.2">
      <c r="A257" s="194"/>
      <c r="B257" s="195" t="s">
        <v>130</v>
      </c>
      <c r="C257" s="202"/>
      <c r="D257" s="197"/>
      <c r="E257" s="299"/>
      <c r="F257" s="300"/>
      <c r="G257" s="301"/>
    </row>
    <row r="258" spans="1:13" ht="12.75" thickBot="1" x14ac:dyDescent="0.25">
      <c r="A258" s="198"/>
      <c r="B258" s="199" t="s">
        <v>157</v>
      </c>
      <c r="C258" s="203"/>
      <c r="D258" s="201"/>
      <c r="E258" s="296"/>
      <c r="F258" s="302"/>
      <c r="G258" s="303">
        <f>SUM(G213:G255)</f>
        <v>0</v>
      </c>
    </row>
    <row r="259" spans="1:13" x14ac:dyDescent="0.2">
      <c r="A259" s="52"/>
      <c r="B259" s="136"/>
      <c r="C259" s="54"/>
      <c r="D259" s="55"/>
      <c r="E259" s="235"/>
      <c r="F259" s="238"/>
      <c r="G259" s="257"/>
    </row>
    <row r="260" spans="1:13" x14ac:dyDescent="0.2">
      <c r="A260" s="322"/>
      <c r="B260" s="114" t="s">
        <v>99</v>
      </c>
      <c r="C260" s="115"/>
      <c r="D260" s="78"/>
      <c r="E260" s="235"/>
      <c r="F260" s="238"/>
      <c r="G260" s="239"/>
    </row>
    <row r="261" spans="1:13" x14ac:dyDescent="0.2">
      <c r="A261" s="322"/>
      <c r="B261" s="116" t="s">
        <v>100</v>
      </c>
      <c r="C261" s="115"/>
      <c r="D261" s="78"/>
      <c r="E261" s="235"/>
      <c r="F261" s="238"/>
      <c r="G261" s="239"/>
    </row>
    <row r="262" spans="1:13" x14ac:dyDescent="0.2">
      <c r="A262" s="52" t="s">
        <v>101</v>
      </c>
      <c r="B262" s="79" t="s">
        <v>40</v>
      </c>
      <c r="C262" s="77"/>
      <c r="D262" s="78"/>
      <c r="E262" s="235"/>
      <c r="F262" s="238"/>
      <c r="G262" s="239"/>
    </row>
    <row r="263" spans="1:13" ht="48" x14ac:dyDescent="0.2">
      <c r="A263" s="52"/>
      <c r="B263" s="93" t="s">
        <v>120</v>
      </c>
      <c r="C263" s="93"/>
      <c r="D263" s="93"/>
      <c r="E263" s="262"/>
      <c r="F263" s="262"/>
      <c r="G263" s="263"/>
    </row>
    <row r="264" spans="1:13" s="277" customFormat="1" x14ac:dyDescent="0.2">
      <c r="A264" s="281" t="s">
        <v>125</v>
      </c>
      <c r="B264" s="287" t="s">
        <v>162</v>
      </c>
      <c r="C264" s="288"/>
      <c r="D264" s="289"/>
      <c r="E264" s="235"/>
      <c r="F264" s="238"/>
      <c r="G264" s="239"/>
    </row>
    <row r="265" spans="1:13" ht="12.75" x14ac:dyDescent="0.2">
      <c r="A265" s="117"/>
      <c r="B265" s="118" t="s">
        <v>166</v>
      </c>
      <c r="C265" s="119"/>
      <c r="D265" s="120"/>
      <c r="E265" s="235"/>
      <c r="F265" s="238"/>
      <c r="G265" s="239"/>
    </row>
    <row r="266" spans="1:13" ht="12.75" x14ac:dyDescent="0.2">
      <c r="A266" s="121" t="s">
        <v>263</v>
      </c>
      <c r="B266" s="122" t="s">
        <v>62</v>
      </c>
      <c r="C266" s="123"/>
      <c r="D266" s="124"/>
      <c r="E266" s="245"/>
      <c r="F266" s="238"/>
      <c r="G266" s="239">
        <f t="shared" ref="G266:G267" si="43">(D266*E266)+(D266*F266)</f>
        <v>0</v>
      </c>
    </row>
    <row r="267" spans="1:13" ht="15.75" x14ac:dyDescent="0.2">
      <c r="A267" s="117"/>
      <c r="B267" s="125" t="s">
        <v>294</v>
      </c>
      <c r="C267" s="119" t="s">
        <v>167</v>
      </c>
      <c r="D267" s="120">
        <v>2.4</v>
      </c>
      <c r="E267" s="245"/>
      <c r="F267" s="238"/>
      <c r="G267" s="239">
        <f t="shared" si="43"/>
        <v>0</v>
      </c>
      <c r="I267" s="16">
        <f>51.46*4</f>
        <v>205.84</v>
      </c>
    </row>
    <row r="268" spans="1:13" ht="12.75" x14ac:dyDescent="0.2">
      <c r="A268" s="121" t="s">
        <v>264</v>
      </c>
      <c r="B268" s="122" t="s">
        <v>64</v>
      </c>
      <c r="C268" s="123"/>
      <c r="D268" s="124"/>
      <c r="E268" s="245"/>
      <c r="F268" s="238"/>
      <c r="G268" s="239">
        <f t="shared" ref="G268" si="44">(D268*E268)+(D268*F268)</f>
        <v>0</v>
      </c>
    </row>
    <row r="269" spans="1:13" ht="15.75" x14ac:dyDescent="0.2">
      <c r="A269" s="117"/>
      <c r="B269" s="125" t="s">
        <v>294</v>
      </c>
      <c r="C269" s="119" t="s">
        <v>167</v>
      </c>
      <c r="D269" s="120">
        <v>2.4</v>
      </c>
      <c r="E269" s="245"/>
      <c r="F269" s="238"/>
      <c r="G269" s="239">
        <f t="shared" ref="G269" si="45">(D269*E269)+(D269*F269)</f>
        <v>0</v>
      </c>
      <c r="I269" s="16">
        <f>32.2*1.85</f>
        <v>59.570000000000007</v>
      </c>
      <c r="J269" s="16">
        <f>8.5*1.35</f>
        <v>11.475000000000001</v>
      </c>
      <c r="K269" s="16">
        <f>1.65*0.8</f>
        <v>1.32</v>
      </c>
      <c r="L269" s="16">
        <f>1.65*1.5</f>
        <v>2.4749999999999996</v>
      </c>
      <c r="M269" s="16">
        <f>SUM(I269:L269)</f>
        <v>74.84</v>
      </c>
    </row>
    <row r="270" spans="1:13" ht="12.75" x14ac:dyDescent="0.2">
      <c r="A270" s="121" t="s">
        <v>265</v>
      </c>
      <c r="B270" s="122" t="s">
        <v>236</v>
      </c>
      <c r="C270" s="123"/>
      <c r="D270" s="124"/>
      <c r="E270" s="245"/>
      <c r="F270" s="238"/>
      <c r="G270" s="239">
        <f t="shared" ref="G270:G271" si="46">(D270*E270)+(D270*F270)</f>
        <v>0</v>
      </c>
    </row>
    <row r="271" spans="1:13" ht="15.75" x14ac:dyDescent="0.2">
      <c r="A271" s="117"/>
      <c r="B271" s="125" t="s">
        <v>294</v>
      </c>
      <c r="C271" s="119" t="s">
        <v>167</v>
      </c>
      <c r="D271" s="120">
        <v>2.4</v>
      </c>
      <c r="E271" s="245"/>
      <c r="F271" s="238"/>
      <c r="G271" s="239">
        <f t="shared" si="46"/>
        <v>0</v>
      </c>
      <c r="I271" s="16">
        <f>32.2*1.85</f>
        <v>59.570000000000007</v>
      </c>
      <c r="J271" s="16">
        <f>8.5*1.35</f>
        <v>11.475000000000001</v>
      </c>
      <c r="K271" s="16">
        <f>1.65*0.8</f>
        <v>1.32</v>
      </c>
      <c r="L271" s="16">
        <f>1.65*1.5</f>
        <v>2.4749999999999996</v>
      </c>
      <c r="M271" s="16">
        <f>SUM(I271:L271)</f>
        <v>74.84</v>
      </c>
    </row>
    <row r="272" spans="1:13" ht="12" customHeight="1" x14ac:dyDescent="0.2">
      <c r="A272" s="117"/>
      <c r="B272" s="125"/>
      <c r="C272" s="119"/>
      <c r="D272" s="120"/>
      <c r="E272" s="245"/>
      <c r="F272" s="238"/>
      <c r="G272" s="239"/>
    </row>
    <row r="273" spans="1:19" s="277" customFormat="1" ht="12" customHeight="1" x14ac:dyDescent="0.2">
      <c r="A273" s="281" t="s">
        <v>126</v>
      </c>
      <c r="B273" s="287" t="s">
        <v>127</v>
      </c>
      <c r="C273" s="283"/>
      <c r="D273" s="258"/>
      <c r="E273" s="235"/>
      <c r="F273" s="238"/>
      <c r="G273" s="239"/>
    </row>
    <row r="274" spans="1:19" ht="36" x14ac:dyDescent="0.2">
      <c r="A274" s="52"/>
      <c r="B274" s="93" t="s">
        <v>180</v>
      </c>
      <c r="C274" s="93"/>
      <c r="D274" s="93"/>
      <c r="E274" s="262"/>
      <c r="F274" s="262"/>
      <c r="G274" s="263"/>
    </row>
    <row r="275" spans="1:19" ht="24" x14ac:dyDescent="0.2">
      <c r="A275" s="75"/>
      <c r="B275" s="93" t="s">
        <v>181</v>
      </c>
      <c r="C275" s="93"/>
      <c r="D275" s="93"/>
      <c r="E275" s="262"/>
      <c r="F275" s="262"/>
      <c r="G275" s="263"/>
    </row>
    <row r="276" spans="1:19" ht="24" x14ac:dyDescent="0.2">
      <c r="A276" s="281"/>
      <c r="B276" s="262" t="s">
        <v>239</v>
      </c>
      <c r="C276" s="262"/>
      <c r="D276" s="262"/>
      <c r="E276" s="262"/>
      <c r="F276" s="262"/>
      <c r="G276" s="263"/>
    </row>
    <row r="277" spans="1:19" s="40" customFormat="1" ht="15" customHeight="1" x14ac:dyDescent="0.2">
      <c r="A277" s="121" t="s">
        <v>266</v>
      </c>
      <c r="B277" s="122" t="s">
        <v>62</v>
      </c>
      <c r="C277" s="123"/>
      <c r="D277" s="124"/>
      <c r="E277" s="235"/>
      <c r="F277" s="238"/>
      <c r="G277" s="239"/>
      <c r="H277" s="16"/>
      <c r="I277" s="16"/>
      <c r="J277" s="16"/>
      <c r="K277" s="16"/>
      <c r="L277" s="16"/>
      <c r="M277" s="16"/>
      <c r="N277" s="16"/>
      <c r="O277" s="16"/>
      <c r="P277" s="16"/>
      <c r="Q277" s="16"/>
      <c r="R277" s="16"/>
      <c r="S277" s="16"/>
    </row>
    <row r="278" spans="1:19" ht="12.75" x14ac:dyDescent="0.2">
      <c r="A278" s="117" t="s">
        <v>182</v>
      </c>
      <c r="B278" s="126" t="s">
        <v>179</v>
      </c>
      <c r="C278" s="119"/>
      <c r="D278" s="120"/>
      <c r="E278" s="245"/>
      <c r="F278" s="238"/>
      <c r="G278" s="239"/>
      <c r="I278" s="48"/>
      <c r="J278" s="22"/>
      <c r="K278" s="20"/>
    </row>
    <row r="279" spans="1:19" ht="15.75" x14ac:dyDescent="0.2">
      <c r="A279" s="117" t="s">
        <v>137</v>
      </c>
      <c r="B279" s="125" t="s">
        <v>294</v>
      </c>
      <c r="C279" s="119" t="s">
        <v>167</v>
      </c>
      <c r="D279" s="120">
        <v>2.4</v>
      </c>
      <c r="E279" s="245"/>
      <c r="F279" s="238"/>
      <c r="G279" s="239">
        <f t="shared" ref="G279" si="47">(D279*E279)+(D279*F279)</f>
        <v>0</v>
      </c>
      <c r="I279" s="16">
        <f>51.46*4</f>
        <v>205.84</v>
      </c>
    </row>
    <row r="280" spans="1:19" ht="12" customHeight="1" x14ac:dyDescent="0.2">
      <c r="A280" s="117"/>
      <c r="B280" s="125"/>
      <c r="C280" s="119"/>
      <c r="D280" s="120"/>
      <c r="E280" s="245"/>
      <c r="F280" s="238"/>
      <c r="G280" s="239"/>
    </row>
    <row r="281" spans="1:19" ht="12.75" x14ac:dyDescent="0.2">
      <c r="A281" s="121" t="s">
        <v>267</v>
      </c>
      <c r="B281" s="122" t="s">
        <v>64</v>
      </c>
      <c r="C281" s="123"/>
      <c r="D281" s="124"/>
      <c r="E281" s="235"/>
      <c r="F281" s="238"/>
      <c r="G281" s="239"/>
    </row>
    <row r="282" spans="1:19" ht="12" customHeight="1" x14ac:dyDescent="0.2">
      <c r="A282" s="117" t="s">
        <v>182</v>
      </c>
      <c r="B282" s="126" t="s">
        <v>179</v>
      </c>
      <c r="C282" s="119"/>
      <c r="D282" s="120"/>
      <c r="E282" s="245"/>
      <c r="F282" s="238"/>
      <c r="G282" s="239"/>
    </row>
    <row r="283" spans="1:19" ht="15.75" x14ac:dyDescent="0.2">
      <c r="A283" s="117" t="s">
        <v>137</v>
      </c>
      <c r="B283" s="125" t="s">
        <v>294</v>
      </c>
      <c r="C283" s="119" t="s">
        <v>167</v>
      </c>
      <c r="D283" s="120">
        <v>2.4</v>
      </c>
      <c r="E283" s="245"/>
      <c r="F283" s="238"/>
      <c r="G283" s="239">
        <f t="shared" ref="G283" si="48">(D283*E283)+(D283*F283)</f>
        <v>0</v>
      </c>
      <c r="I283" s="16">
        <f>32.2*1.85</f>
        <v>59.570000000000007</v>
      </c>
      <c r="J283" s="16">
        <f>8.5*1.35</f>
        <v>11.475000000000001</v>
      </c>
      <c r="K283" s="16">
        <f>1.65*0.8</f>
        <v>1.32</v>
      </c>
      <c r="L283" s="16">
        <f>1.65*1.5</f>
        <v>2.4749999999999996</v>
      </c>
      <c r="M283" s="16">
        <f>SUM(I283:L283)</f>
        <v>74.84</v>
      </c>
    </row>
    <row r="284" spans="1:19" ht="12.75" x14ac:dyDescent="0.2">
      <c r="A284" s="117"/>
      <c r="B284" s="126"/>
      <c r="C284" s="119"/>
      <c r="D284" s="120"/>
      <c r="E284" s="245"/>
      <c r="F284" s="238"/>
      <c r="G284" s="239"/>
    </row>
    <row r="285" spans="1:19" s="40" customFormat="1" ht="15" customHeight="1" x14ac:dyDescent="0.2">
      <c r="A285" s="121" t="s">
        <v>268</v>
      </c>
      <c r="B285" s="122" t="s">
        <v>236</v>
      </c>
      <c r="C285" s="123"/>
      <c r="D285" s="124"/>
      <c r="E285" s="235"/>
      <c r="F285" s="238"/>
      <c r="G285" s="239"/>
      <c r="H285" s="16"/>
      <c r="I285" s="16"/>
      <c r="J285" s="16"/>
      <c r="K285" s="16"/>
      <c r="L285" s="16"/>
      <c r="M285" s="16"/>
      <c r="N285" s="16"/>
      <c r="O285" s="16"/>
      <c r="P285" s="16"/>
      <c r="Q285" s="16"/>
      <c r="R285" s="16"/>
      <c r="S285" s="16"/>
    </row>
    <row r="286" spans="1:19" ht="12.75" x14ac:dyDescent="0.2">
      <c r="A286" s="117" t="s">
        <v>182</v>
      </c>
      <c r="B286" s="126" t="s">
        <v>179</v>
      </c>
      <c r="C286" s="119"/>
      <c r="D286" s="120"/>
      <c r="E286" s="245"/>
      <c r="F286" s="238"/>
      <c r="G286" s="239"/>
      <c r="I286" s="48"/>
      <c r="J286" s="22"/>
      <c r="K286" s="20"/>
    </row>
    <row r="287" spans="1:19" ht="15.75" x14ac:dyDescent="0.2">
      <c r="A287" s="117" t="s">
        <v>137</v>
      </c>
      <c r="B287" s="125" t="s">
        <v>294</v>
      </c>
      <c r="C287" s="119" t="s">
        <v>167</v>
      </c>
      <c r="D287" s="120">
        <v>2.4</v>
      </c>
      <c r="E287" s="245"/>
      <c r="F287" s="238"/>
      <c r="G287" s="239">
        <f t="shared" ref="G287" si="49">(D287*E287)+(D287*F287)</f>
        <v>0</v>
      </c>
      <c r="I287" s="16">
        <f>32.2*1.85</f>
        <v>59.570000000000007</v>
      </c>
      <c r="J287" s="16">
        <f>8.5*1.35</f>
        <v>11.475000000000001</v>
      </c>
      <c r="K287" s="16">
        <f>1.65*0.8</f>
        <v>1.32</v>
      </c>
      <c r="L287" s="16">
        <f>1.65*1.5</f>
        <v>2.4749999999999996</v>
      </c>
      <c r="M287" s="16">
        <f>SUM(I287:L287)</f>
        <v>74.84</v>
      </c>
    </row>
    <row r="288" spans="1:19" ht="12.75" x14ac:dyDescent="0.2">
      <c r="A288" s="117"/>
      <c r="B288" s="125"/>
      <c r="C288" s="119"/>
      <c r="D288" s="120"/>
      <c r="E288" s="245"/>
      <c r="F288" s="238"/>
      <c r="G288" s="239"/>
    </row>
    <row r="289" spans="1:13" s="277" customFormat="1" x14ac:dyDescent="0.2">
      <c r="A289" s="281" t="s">
        <v>140</v>
      </c>
      <c r="B289" s="287" t="s">
        <v>163</v>
      </c>
      <c r="C289" s="283"/>
      <c r="D289" s="258"/>
      <c r="E289" s="235"/>
      <c r="F289" s="238"/>
      <c r="G289" s="239"/>
    </row>
    <row r="290" spans="1:13" ht="24" x14ac:dyDescent="0.2">
      <c r="A290" s="323"/>
      <c r="B290" s="127" t="s">
        <v>240</v>
      </c>
      <c r="C290" s="128"/>
      <c r="D290" s="55"/>
      <c r="E290" s="245"/>
      <c r="F290" s="238"/>
      <c r="G290" s="239"/>
    </row>
    <row r="291" spans="1:13" x14ac:dyDescent="0.2">
      <c r="A291" s="323"/>
      <c r="B291" s="127" t="s">
        <v>223</v>
      </c>
      <c r="C291" s="101" t="s">
        <v>14</v>
      </c>
      <c r="D291" s="55">
        <v>1</v>
      </c>
      <c r="E291" s="245"/>
      <c r="F291" s="238"/>
      <c r="G291" s="239">
        <f>(D291*E291)+(D291*F291)</f>
        <v>0</v>
      </c>
      <c r="I291" s="39">
        <f>D291/2.5</f>
        <v>0.4</v>
      </c>
      <c r="J291" s="39">
        <f>I291*800</f>
        <v>320</v>
      </c>
      <c r="K291" s="39">
        <f>J291/D291</f>
        <v>320</v>
      </c>
    </row>
    <row r="292" spans="1:13" x14ac:dyDescent="0.2">
      <c r="A292" s="323"/>
      <c r="B292" s="127" t="s">
        <v>210</v>
      </c>
      <c r="C292" s="101" t="s">
        <v>14</v>
      </c>
      <c r="D292" s="55">
        <v>1</v>
      </c>
      <c r="E292" s="245"/>
      <c r="F292" s="238"/>
      <c r="G292" s="239">
        <f>(D292*E292)+(D292*F292)</f>
        <v>0</v>
      </c>
      <c r="I292" s="24"/>
      <c r="L292" s="24"/>
    </row>
    <row r="293" spans="1:13" x14ac:dyDescent="0.2">
      <c r="A293" s="323"/>
      <c r="B293" s="127"/>
      <c r="C293" s="101"/>
      <c r="D293" s="55"/>
      <c r="E293" s="245"/>
      <c r="F293" s="238"/>
      <c r="G293" s="239"/>
    </row>
    <row r="294" spans="1:13" s="277" customFormat="1" x14ac:dyDescent="0.2">
      <c r="A294" s="281" t="s">
        <v>141</v>
      </c>
      <c r="B294" s="287" t="s">
        <v>168</v>
      </c>
      <c r="C294" s="283"/>
      <c r="D294" s="258"/>
      <c r="E294" s="235"/>
      <c r="F294" s="238"/>
      <c r="G294" s="239"/>
    </row>
    <row r="295" spans="1:13" ht="24" x14ac:dyDescent="0.2">
      <c r="A295" s="129" t="s">
        <v>137</v>
      </c>
      <c r="B295" s="127" t="s">
        <v>241</v>
      </c>
      <c r="C295" s="101" t="s">
        <v>14</v>
      </c>
      <c r="D295" s="55">
        <v>1</v>
      </c>
      <c r="E295" s="245"/>
      <c r="F295" s="238"/>
      <c r="G295" s="239">
        <f>(D295*E295)+(D295*F295)</f>
        <v>0</v>
      </c>
      <c r="J295" s="39"/>
      <c r="K295" s="39"/>
      <c r="L295" s="39"/>
      <c r="M295" s="39"/>
    </row>
    <row r="296" spans="1:13" x14ac:dyDescent="0.2">
      <c r="A296" s="323"/>
      <c r="B296" s="127"/>
      <c r="C296" s="101"/>
      <c r="D296" s="55"/>
      <c r="E296" s="245"/>
      <c r="F296" s="238"/>
      <c r="G296" s="239"/>
    </row>
    <row r="297" spans="1:13" x14ac:dyDescent="0.2">
      <c r="A297" s="323"/>
      <c r="B297" s="127"/>
      <c r="C297" s="101"/>
      <c r="D297" s="55"/>
      <c r="E297" s="245"/>
      <c r="F297" s="238"/>
      <c r="G297" s="239"/>
    </row>
    <row r="298" spans="1:13" ht="12" customHeight="1" x14ac:dyDescent="0.2">
      <c r="A298" s="323"/>
      <c r="B298" s="127"/>
      <c r="C298" s="101"/>
      <c r="D298" s="55"/>
      <c r="E298" s="245"/>
      <c r="F298" s="238"/>
      <c r="G298" s="239"/>
    </row>
    <row r="299" spans="1:13" ht="12" customHeight="1" thickBot="1" x14ac:dyDescent="0.25">
      <c r="A299" s="323"/>
      <c r="B299" s="127"/>
      <c r="C299" s="101"/>
      <c r="D299" s="55"/>
      <c r="E299" s="245"/>
      <c r="F299" s="238"/>
      <c r="G299" s="239"/>
    </row>
    <row r="300" spans="1:13" ht="12" customHeight="1" x14ac:dyDescent="0.2">
      <c r="A300" s="194"/>
      <c r="B300" s="195" t="s">
        <v>128</v>
      </c>
      <c r="C300" s="202"/>
      <c r="D300" s="197"/>
      <c r="E300" s="299"/>
      <c r="F300" s="300"/>
      <c r="G300" s="301"/>
    </row>
    <row r="301" spans="1:13" ht="12" customHeight="1" thickBot="1" x14ac:dyDescent="0.25">
      <c r="A301" s="198"/>
      <c r="B301" s="199" t="s">
        <v>129</v>
      </c>
      <c r="C301" s="203"/>
      <c r="D301" s="201"/>
      <c r="E301" s="296"/>
      <c r="F301" s="302"/>
      <c r="G301" s="303">
        <f>SUM(G266:G300)</f>
        <v>0</v>
      </c>
    </row>
    <row r="302" spans="1:13" x14ac:dyDescent="0.2">
      <c r="A302" s="137"/>
      <c r="B302" s="209"/>
      <c r="C302" s="127"/>
      <c r="D302" s="127"/>
      <c r="E302" s="245"/>
      <c r="F302" s="238"/>
      <c r="G302" s="239"/>
    </row>
    <row r="303" spans="1:13" x14ac:dyDescent="0.2">
      <c r="A303" s="137"/>
      <c r="B303" s="138" t="s">
        <v>152</v>
      </c>
      <c r="C303" s="127"/>
      <c r="D303" s="127"/>
      <c r="E303" s="245"/>
      <c r="F303" s="238"/>
      <c r="G303" s="239"/>
    </row>
    <row r="304" spans="1:13" x14ac:dyDescent="0.2">
      <c r="A304" s="137"/>
      <c r="B304" s="139" t="s">
        <v>102</v>
      </c>
      <c r="C304" s="127"/>
      <c r="D304" s="127"/>
      <c r="E304" s="245"/>
      <c r="F304" s="238"/>
      <c r="G304" s="239"/>
    </row>
    <row r="305" spans="1:19" x14ac:dyDescent="0.2">
      <c r="A305" s="137" t="s">
        <v>142</v>
      </c>
      <c r="B305" s="140" t="s">
        <v>40</v>
      </c>
      <c r="C305" s="127"/>
      <c r="D305" s="127"/>
      <c r="E305" s="245"/>
      <c r="F305" s="238"/>
      <c r="G305" s="239"/>
    </row>
    <row r="306" spans="1:19" ht="36" x14ac:dyDescent="0.2">
      <c r="A306" s="137"/>
      <c r="B306" s="127" t="s">
        <v>198</v>
      </c>
      <c r="C306" s="127"/>
      <c r="D306" s="127"/>
      <c r="E306" s="245"/>
      <c r="F306" s="238"/>
      <c r="G306" s="239"/>
    </row>
    <row r="307" spans="1:19" ht="48" x14ac:dyDescent="0.2">
      <c r="A307" s="137"/>
      <c r="B307" s="127" t="s">
        <v>197</v>
      </c>
      <c r="C307" s="127"/>
      <c r="D307" s="127"/>
      <c r="E307" s="245"/>
      <c r="F307" s="238"/>
      <c r="G307" s="239"/>
    </row>
    <row r="308" spans="1:19" ht="30.75" customHeight="1" x14ac:dyDescent="0.2">
      <c r="A308" s="137"/>
      <c r="B308" s="127" t="s">
        <v>228</v>
      </c>
      <c r="C308" s="127"/>
      <c r="D308" s="127"/>
      <c r="E308" s="245"/>
      <c r="F308" s="238"/>
      <c r="G308" s="239"/>
    </row>
    <row r="309" spans="1:19" ht="27" customHeight="1" x14ac:dyDescent="0.2">
      <c r="A309" s="137"/>
      <c r="B309" s="127" t="s">
        <v>196</v>
      </c>
      <c r="C309" s="127"/>
      <c r="D309" s="127"/>
      <c r="E309" s="245"/>
      <c r="F309" s="238"/>
      <c r="G309" s="239"/>
    </row>
    <row r="310" spans="1:19" ht="24" x14ac:dyDescent="0.2">
      <c r="A310" s="52"/>
      <c r="B310" s="127" t="s">
        <v>165</v>
      </c>
      <c r="C310" s="127"/>
      <c r="D310" s="127"/>
      <c r="E310" s="245"/>
      <c r="F310" s="238"/>
      <c r="G310" s="239"/>
    </row>
    <row r="311" spans="1:19" ht="14.25" customHeight="1" x14ac:dyDescent="0.2">
      <c r="A311" s="137"/>
      <c r="B311" s="127"/>
      <c r="C311" s="127"/>
      <c r="D311" s="127"/>
      <c r="E311" s="245"/>
      <c r="F311" s="238"/>
      <c r="G311" s="239"/>
    </row>
    <row r="312" spans="1:19" x14ac:dyDescent="0.2">
      <c r="A312" s="324" t="s">
        <v>249</v>
      </c>
      <c r="B312" s="109" t="s">
        <v>64</v>
      </c>
      <c r="C312" s="110"/>
      <c r="D312" s="111"/>
      <c r="E312" s="235"/>
      <c r="F312" s="238"/>
      <c r="G312" s="239"/>
      <c r="J312" s="24"/>
      <c r="K312" s="24"/>
    </row>
    <row r="313" spans="1:19" s="277" customFormat="1" x14ac:dyDescent="0.2">
      <c r="A313" s="320"/>
      <c r="B313" s="282" t="s">
        <v>257</v>
      </c>
      <c r="C313" s="283"/>
      <c r="D313" s="258"/>
      <c r="E313" s="235"/>
      <c r="F313" s="238"/>
      <c r="G313" s="239"/>
      <c r="K313" s="286"/>
    </row>
    <row r="314" spans="1:19" ht="36" x14ac:dyDescent="0.2">
      <c r="A314" s="59" t="s">
        <v>137</v>
      </c>
      <c r="B314" s="112" t="s">
        <v>295</v>
      </c>
      <c r="C314" s="113" t="s">
        <v>104</v>
      </c>
      <c r="D314" s="55">
        <v>1</v>
      </c>
      <c r="E314" s="235"/>
      <c r="F314" s="247"/>
      <c r="G314" s="248">
        <f t="shared" ref="G314" si="50">(D314*E314)+(D314*F314)</f>
        <v>0</v>
      </c>
      <c r="H314" s="40"/>
      <c r="I314" s="49">
        <f>0.95*2.83</f>
        <v>2.6884999999999999</v>
      </c>
      <c r="J314" s="47">
        <f>I314*D314</f>
        <v>2.6884999999999999</v>
      </c>
      <c r="K314" s="49" t="e">
        <f>J314+#REF!+#REF!+#REF!</f>
        <v>#REF!</v>
      </c>
      <c r="L314" s="40"/>
      <c r="M314" s="40"/>
      <c r="N314" s="40"/>
      <c r="O314" s="40"/>
      <c r="P314" s="40"/>
      <c r="Q314" s="40"/>
      <c r="R314" s="40"/>
      <c r="S314" s="40"/>
    </row>
    <row r="315" spans="1:19" x14ac:dyDescent="0.2">
      <c r="A315" s="324" t="s">
        <v>250</v>
      </c>
      <c r="B315" s="109" t="s">
        <v>236</v>
      </c>
      <c r="C315" s="110"/>
      <c r="D315" s="111"/>
      <c r="E315" s="235"/>
      <c r="F315" s="238"/>
      <c r="G315" s="239"/>
      <c r="J315" s="24"/>
      <c r="K315" s="24"/>
    </row>
    <row r="316" spans="1:19" s="277" customFormat="1" x14ac:dyDescent="0.2">
      <c r="A316" s="320"/>
      <c r="B316" s="282" t="s">
        <v>257</v>
      </c>
      <c r="C316" s="283"/>
      <c r="D316" s="258"/>
      <c r="E316" s="235"/>
      <c r="F316" s="238"/>
      <c r="G316" s="239"/>
      <c r="K316" s="286"/>
    </row>
    <row r="317" spans="1:19" ht="36" x14ac:dyDescent="0.2">
      <c r="A317" s="59" t="s">
        <v>137</v>
      </c>
      <c r="B317" s="112" t="s">
        <v>295</v>
      </c>
      <c r="C317" s="113" t="s">
        <v>104</v>
      </c>
      <c r="D317" s="55">
        <v>1</v>
      </c>
      <c r="E317" s="235"/>
      <c r="F317" s="247"/>
      <c r="G317" s="248">
        <f t="shared" ref="G317" si="51">(D317*E317)+(D317*F317)</f>
        <v>0</v>
      </c>
      <c r="H317" s="40"/>
      <c r="I317" s="49">
        <f>0.95*2.83</f>
        <v>2.6884999999999999</v>
      </c>
      <c r="J317" s="47">
        <f>I317*D317</f>
        <v>2.6884999999999999</v>
      </c>
      <c r="K317" s="49" t="e">
        <f>J317+#REF!+#REF!+#REF!</f>
        <v>#REF!</v>
      </c>
      <c r="L317" s="40"/>
      <c r="M317" s="40"/>
      <c r="N317" s="40"/>
      <c r="O317" s="40"/>
      <c r="P317" s="40"/>
      <c r="Q317" s="40"/>
      <c r="R317" s="40"/>
      <c r="S317" s="40"/>
    </row>
    <row r="318" spans="1:19" ht="12" customHeight="1" x14ac:dyDescent="0.2">
      <c r="A318" s="59"/>
      <c r="B318" s="112"/>
      <c r="C318" s="69"/>
      <c r="D318" s="55"/>
      <c r="E318" s="235"/>
      <c r="F318" s="238"/>
      <c r="G318" s="239"/>
      <c r="I318" s="39"/>
      <c r="J318" s="24"/>
    </row>
    <row r="319" spans="1:19" ht="12" customHeight="1" x14ac:dyDescent="0.2">
      <c r="A319" s="59"/>
      <c r="B319" s="112"/>
      <c r="C319" s="69"/>
      <c r="D319" s="55"/>
      <c r="E319" s="235"/>
      <c r="F319" s="238"/>
      <c r="G319" s="239"/>
      <c r="I319" s="39"/>
      <c r="J319" s="24"/>
    </row>
    <row r="320" spans="1:19" ht="12.75" thickBot="1" x14ac:dyDescent="0.25">
      <c r="A320" s="59"/>
      <c r="B320" s="112"/>
      <c r="C320" s="69"/>
      <c r="D320" s="55"/>
      <c r="E320" s="235"/>
      <c r="F320" s="238"/>
      <c r="G320" s="239"/>
      <c r="I320" s="39"/>
      <c r="J320" s="24"/>
    </row>
    <row r="321" spans="1:19" x14ac:dyDescent="0.2">
      <c r="A321" s="213"/>
      <c r="B321" s="210" t="s">
        <v>153</v>
      </c>
      <c r="C321" s="186"/>
      <c r="D321" s="187"/>
      <c r="E321" s="306"/>
      <c r="F321" s="307"/>
      <c r="G321" s="304"/>
    </row>
    <row r="322" spans="1:19" ht="12.75" thickBot="1" x14ac:dyDescent="0.25">
      <c r="A322" s="215"/>
      <c r="B322" s="175" t="s">
        <v>154</v>
      </c>
      <c r="C322" s="211"/>
      <c r="D322" s="212"/>
      <c r="E322" s="308"/>
      <c r="F322" s="309"/>
      <c r="G322" s="305">
        <f>SUM(G312:G321)</f>
        <v>0</v>
      </c>
    </row>
    <row r="323" spans="1:19" x14ac:dyDescent="0.2">
      <c r="A323" s="52"/>
      <c r="B323" s="106" t="s">
        <v>155</v>
      </c>
      <c r="C323" s="54"/>
      <c r="D323" s="55"/>
      <c r="E323" s="235"/>
      <c r="F323" s="238"/>
      <c r="G323" s="239"/>
    </row>
    <row r="324" spans="1:19" x14ac:dyDescent="0.2">
      <c r="A324" s="52"/>
      <c r="B324" s="76" t="s">
        <v>88</v>
      </c>
      <c r="C324" s="54"/>
      <c r="D324" s="55"/>
      <c r="E324" s="235"/>
      <c r="F324" s="238"/>
      <c r="G324" s="239"/>
    </row>
    <row r="325" spans="1:19" x14ac:dyDescent="0.2">
      <c r="A325" s="52" t="s">
        <v>103</v>
      </c>
      <c r="B325" s="60" t="s">
        <v>40</v>
      </c>
      <c r="C325" s="54" t="s">
        <v>54</v>
      </c>
      <c r="D325" s="55"/>
      <c r="E325" s="235"/>
      <c r="F325" s="238"/>
      <c r="G325" s="239"/>
      <c r="I325" s="26"/>
      <c r="J325" s="23">
        <v>80.599999999999994</v>
      </c>
      <c r="K325" s="23"/>
    </row>
    <row r="326" spans="1:19" ht="72" x14ac:dyDescent="0.2">
      <c r="A326" s="59"/>
      <c r="B326" s="74" t="s">
        <v>203</v>
      </c>
      <c r="C326" s="90"/>
      <c r="D326" s="90"/>
      <c r="E326" s="250"/>
      <c r="F326" s="250"/>
      <c r="G326" s="270"/>
      <c r="H326" s="28"/>
      <c r="I326" s="26"/>
      <c r="J326" s="36"/>
      <c r="K326" s="23"/>
      <c r="L326" s="28"/>
      <c r="M326" s="28"/>
      <c r="N326" s="28"/>
      <c r="O326" s="28"/>
      <c r="P326" s="28"/>
      <c r="Q326" s="28"/>
      <c r="R326" s="28"/>
      <c r="S326" s="28"/>
    </row>
    <row r="327" spans="1:19" ht="24" x14ac:dyDescent="0.2">
      <c r="A327" s="59"/>
      <c r="B327" s="74" t="s">
        <v>202</v>
      </c>
      <c r="C327" s="90"/>
      <c r="D327" s="90"/>
      <c r="E327" s="250"/>
      <c r="F327" s="250"/>
      <c r="G327" s="270"/>
      <c r="H327" s="28"/>
      <c r="I327" s="26"/>
      <c r="J327" s="23">
        <v>168.85</v>
      </c>
      <c r="K327" s="23"/>
      <c r="L327" s="28"/>
      <c r="M327" s="28"/>
      <c r="N327" s="28"/>
      <c r="O327" s="28"/>
      <c r="P327" s="28"/>
      <c r="Q327" s="28"/>
      <c r="R327" s="28"/>
      <c r="S327" s="28"/>
    </row>
    <row r="328" spans="1:19" ht="48" x14ac:dyDescent="0.2">
      <c r="A328" s="59"/>
      <c r="B328" s="74" t="s">
        <v>224</v>
      </c>
      <c r="C328" s="90"/>
      <c r="D328" s="90"/>
      <c r="E328" s="250"/>
      <c r="F328" s="250"/>
      <c r="G328" s="270"/>
      <c r="H328" s="28"/>
      <c r="I328" s="26"/>
      <c r="J328" s="36"/>
      <c r="K328" s="23"/>
      <c r="L328" s="28"/>
      <c r="M328" s="28"/>
      <c r="N328" s="28"/>
      <c r="O328" s="28"/>
      <c r="P328" s="28"/>
      <c r="Q328" s="28"/>
      <c r="R328" s="28"/>
      <c r="S328" s="28"/>
    </row>
    <row r="329" spans="1:19" ht="72" x14ac:dyDescent="0.2">
      <c r="A329" s="59"/>
      <c r="B329" s="74" t="s">
        <v>225</v>
      </c>
      <c r="C329" s="90"/>
      <c r="D329" s="90"/>
      <c r="E329" s="250"/>
      <c r="F329" s="250"/>
      <c r="G329" s="270"/>
      <c r="H329" s="28"/>
      <c r="I329" s="33"/>
      <c r="J329" s="23">
        <v>139</v>
      </c>
      <c r="K329" s="34"/>
      <c r="L329" s="28"/>
      <c r="M329" s="28"/>
      <c r="N329" s="28"/>
      <c r="O329" s="28"/>
      <c r="P329" s="28"/>
      <c r="Q329" s="28"/>
      <c r="R329" s="28"/>
      <c r="S329" s="28"/>
    </row>
    <row r="330" spans="1:19" x14ac:dyDescent="0.2">
      <c r="A330" s="324" t="s">
        <v>143</v>
      </c>
      <c r="B330" s="109" t="s">
        <v>62</v>
      </c>
      <c r="C330" s="110"/>
      <c r="D330" s="111"/>
      <c r="E330" s="235"/>
      <c r="F330" s="238"/>
      <c r="G330" s="239"/>
      <c r="I330" s="23"/>
      <c r="J330" s="34"/>
      <c r="K330" s="23"/>
    </row>
    <row r="331" spans="1:19" ht="13.5" x14ac:dyDescent="0.2">
      <c r="A331" s="52"/>
      <c r="B331" s="143" t="s">
        <v>296</v>
      </c>
      <c r="C331" s="144" t="s">
        <v>124</v>
      </c>
      <c r="D331" s="55">
        <v>0.98999999999999988</v>
      </c>
      <c r="E331" s="235"/>
      <c r="F331" s="238"/>
      <c r="G331" s="239">
        <f t="shared" ref="G331:G333" si="52">(D331*E331)+(D331*F331)</f>
        <v>0</v>
      </c>
      <c r="I331" s="23"/>
      <c r="J331" s="36"/>
      <c r="K331" s="23"/>
    </row>
    <row r="332" spans="1:19" ht="13.5" x14ac:dyDescent="0.2">
      <c r="A332" s="52"/>
      <c r="B332" s="143" t="s">
        <v>297</v>
      </c>
      <c r="C332" s="144" t="s">
        <v>124</v>
      </c>
      <c r="D332" s="55">
        <v>0.98999999999999988</v>
      </c>
      <c r="E332" s="235"/>
      <c r="F332" s="238"/>
      <c r="G332" s="239">
        <f t="shared" si="52"/>
        <v>0</v>
      </c>
      <c r="I332" s="23"/>
      <c r="J332" s="23">
        <v>143.19999999999999</v>
      </c>
      <c r="K332" s="23"/>
    </row>
    <row r="333" spans="1:19" ht="13.5" x14ac:dyDescent="0.2">
      <c r="A333" s="52"/>
      <c r="B333" s="143" t="s">
        <v>226</v>
      </c>
      <c r="C333" s="144" t="s">
        <v>124</v>
      </c>
      <c r="D333" s="55">
        <v>2.4</v>
      </c>
      <c r="E333" s="235"/>
      <c r="F333" s="238"/>
      <c r="G333" s="239">
        <f t="shared" si="52"/>
        <v>0</v>
      </c>
      <c r="I333" s="23" t="e">
        <f>#REF!+#REF!+#REF!+14+#REF!</f>
        <v>#REF!</v>
      </c>
      <c r="J333" s="36"/>
      <c r="K333" s="23"/>
    </row>
    <row r="334" spans="1:19" x14ac:dyDescent="0.2">
      <c r="A334" s="52"/>
      <c r="B334" s="143"/>
      <c r="C334" s="144"/>
      <c r="D334" s="55"/>
      <c r="E334" s="235"/>
      <c r="F334" s="238"/>
      <c r="G334" s="239"/>
      <c r="I334" s="34"/>
      <c r="J334" s="23"/>
      <c r="K334" s="23"/>
    </row>
    <row r="335" spans="1:19" x14ac:dyDescent="0.2">
      <c r="A335" s="324" t="s">
        <v>251</v>
      </c>
      <c r="B335" s="109" t="s">
        <v>64</v>
      </c>
      <c r="C335" s="110"/>
      <c r="D335" s="111"/>
      <c r="E335" s="235"/>
      <c r="F335" s="238"/>
      <c r="G335" s="239"/>
      <c r="I335" s="23"/>
      <c r="J335" s="34"/>
      <c r="K335" s="23"/>
    </row>
    <row r="336" spans="1:19" ht="13.5" x14ac:dyDescent="0.2">
      <c r="A336" s="52"/>
      <c r="B336" s="143" t="s">
        <v>296</v>
      </c>
      <c r="C336" s="144" t="s">
        <v>124</v>
      </c>
      <c r="D336" s="55">
        <v>16.77</v>
      </c>
      <c r="E336" s="235"/>
      <c r="F336" s="238"/>
      <c r="G336" s="239">
        <f t="shared" ref="G336:G338" si="53">(D336*E336)+(D336*F336)</f>
        <v>0</v>
      </c>
      <c r="I336" s="23"/>
      <c r="J336" s="36"/>
      <c r="K336" s="23"/>
    </row>
    <row r="337" spans="1:19" ht="13.5" x14ac:dyDescent="0.2">
      <c r="A337" s="52"/>
      <c r="B337" s="143" t="s">
        <v>297</v>
      </c>
      <c r="C337" s="144" t="s">
        <v>124</v>
      </c>
      <c r="D337" s="55">
        <v>16.77</v>
      </c>
      <c r="E337" s="235"/>
      <c r="F337" s="238"/>
      <c r="G337" s="239">
        <f t="shared" si="53"/>
        <v>0</v>
      </c>
      <c r="I337" s="23"/>
      <c r="J337" s="23">
        <v>143.19999999999999</v>
      </c>
      <c r="K337" s="23"/>
    </row>
    <row r="338" spans="1:19" ht="13.5" x14ac:dyDescent="0.2">
      <c r="A338" s="52"/>
      <c r="B338" s="143" t="s">
        <v>226</v>
      </c>
      <c r="C338" s="144" t="s">
        <v>124</v>
      </c>
      <c r="D338" s="55">
        <v>2.4</v>
      </c>
      <c r="E338" s="235"/>
      <c r="F338" s="238"/>
      <c r="G338" s="239">
        <f t="shared" si="53"/>
        <v>0</v>
      </c>
      <c r="I338" s="39" t="e">
        <f>#REF!+#REF!+#REF!+12.5+#REF!</f>
        <v>#REF!</v>
      </c>
      <c r="J338" s="36" t="e">
        <f>#REF!</f>
        <v>#REF!</v>
      </c>
      <c r="K338" s="23"/>
    </row>
    <row r="339" spans="1:19" x14ac:dyDescent="0.2">
      <c r="A339" s="324" t="s">
        <v>252</v>
      </c>
      <c r="B339" s="109" t="s">
        <v>236</v>
      </c>
      <c r="C339" s="110"/>
      <c r="D339" s="111"/>
      <c r="E339" s="235"/>
      <c r="F339" s="238"/>
      <c r="G339" s="239"/>
      <c r="I339" s="23"/>
      <c r="J339" s="34"/>
      <c r="K339" s="23"/>
    </row>
    <row r="340" spans="1:19" ht="13.5" x14ac:dyDescent="0.2">
      <c r="A340" s="52"/>
      <c r="B340" s="143" t="s">
        <v>296</v>
      </c>
      <c r="C340" s="144" t="s">
        <v>124</v>
      </c>
      <c r="D340" s="55">
        <v>16.77</v>
      </c>
      <c r="E340" s="235"/>
      <c r="F340" s="238"/>
      <c r="G340" s="239">
        <f t="shared" ref="G340:G342" si="54">(D340*E340)+(D340*F340)</f>
        <v>0</v>
      </c>
      <c r="I340" s="23"/>
      <c r="J340" s="36"/>
      <c r="K340" s="23"/>
    </row>
    <row r="341" spans="1:19" ht="13.5" x14ac:dyDescent="0.2">
      <c r="A341" s="52"/>
      <c r="B341" s="143" t="s">
        <v>297</v>
      </c>
      <c r="C341" s="144" t="s">
        <v>124</v>
      </c>
      <c r="D341" s="55">
        <v>16.77</v>
      </c>
      <c r="E341" s="235"/>
      <c r="F341" s="238"/>
      <c r="G341" s="239">
        <f t="shared" si="54"/>
        <v>0</v>
      </c>
      <c r="I341" s="23"/>
      <c r="J341" s="23">
        <v>143.19999999999999</v>
      </c>
      <c r="K341" s="23"/>
    </row>
    <row r="342" spans="1:19" ht="14.25" thickBot="1" x14ac:dyDescent="0.25">
      <c r="A342" s="52"/>
      <c r="B342" s="143" t="s">
        <v>226</v>
      </c>
      <c r="C342" s="144" t="s">
        <v>124</v>
      </c>
      <c r="D342" s="55">
        <v>2.4</v>
      </c>
      <c r="E342" s="235"/>
      <c r="F342" s="238"/>
      <c r="G342" s="239">
        <f t="shared" si="54"/>
        <v>0</v>
      </c>
      <c r="I342" s="39" t="e">
        <f>#REF!+#REF!+#REF!+12.5+#REF!</f>
        <v>#REF!</v>
      </c>
      <c r="J342" s="36" t="e">
        <f>#REF!</f>
        <v>#REF!</v>
      </c>
      <c r="K342" s="23"/>
    </row>
    <row r="343" spans="1:19" ht="12" customHeight="1" x14ac:dyDescent="0.2">
      <c r="A343" s="213"/>
      <c r="B343" s="210" t="s">
        <v>300</v>
      </c>
      <c r="C343" s="202"/>
      <c r="D343" s="197"/>
      <c r="E343" s="299"/>
      <c r="F343" s="300"/>
      <c r="G343" s="301"/>
    </row>
    <row r="344" spans="1:19" ht="12" customHeight="1" thickBot="1" x14ac:dyDescent="0.25">
      <c r="A344" s="215"/>
      <c r="B344" s="175" t="s">
        <v>105</v>
      </c>
      <c r="C344" s="203"/>
      <c r="D344" s="201"/>
      <c r="E344" s="296"/>
      <c r="F344" s="302"/>
      <c r="G344" s="303">
        <f>SUM(G331:G342)</f>
        <v>0</v>
      </c>
    </row>
    <row r="345" spans="1:19" ht="12" customHeight="1" x14ac:dyDescent="0.2">
      <c r="A345" s="52"/>
      <c r="B345" s="106" t="s">
        <v>106</v>
      </c>
      <c r="C345" s="54"/>
      <c r="D345" s="55"/>
      <c r="E345" s="235"/>
      <c r="F345" s="238"/>
      <c r="G345" s="239"/>
    </row>
    <row r="346" spans="1:19" ht="12" customHeight="1" x14ac:dyDescent="0.2">
      <c r="A346" s="52"/>
      <c r="B346" s="76" t="s">
        <v>90</v>
      </c>
      <c r="C346" s="54"/>
      <c r="D346" s="55"/>
      <c r="E346" s="235"/>
      <c r="F346" s="238"/>
      <c r="G346" s="239"/>
    </row>
    <row r="347" spans="1:19" ht="12" customHeight="1" x14ac:dyDescent="0.2">
      <c r="A347" s="52" t="s">
        <v>107</v>
      </c>
      <c r="B347" s="60" t="s">
        <v>40</v>
      </c>
      <c r="C347" s="54"/>
      <c r="D347" s="55"/>
      <c r="E347" s="235"/>
      <c r="F347" s="238"/>
      <c r="G347" s="239"/>
    </row>
    <row r="348" spans="1:19" ht="53.25" customHeight="1" x14ac:dyDescent="0.2">
      <c r="A348" s="59"/>
      <c r="B348" s="74" t="s">
        <v>121</v>
      </c>
      <c r="C348" s="74"/>
      <c r="D348" s="74"/>
      <c r="E348" s="260"/>
      <c r="F348" s="260"/>
      <c r="G348" s="261"/>
      <c r="H348" s="28"/>
      <c r="I348" s="28"/>
      <c r="J348" s="28"/>
      <c r="K348" s="28"/>
      <c r="L348" s="28"/>
      <c r="M348" s="28"/>
      <c r="N348" s="28"/>
      <c r="O348" s="28"/>
      <c r="P348" s="28"/>
      <c r="Q348" s="28"/>
      <c r="R348" s="28"/>
      <c r="S348" s="28"/>
    </row>
    <row r="349" spans="1:19" s="277" customFormat="1" x14ac:dyDescent="0.2">
      <c r="A349" s="320" t="s">
        <v>301</v>
      </c>
      <c r="B349" s="279" t="s">
        <v>113</v>
      </c>
      <c r="C349" s="283"/>
      <c r="D349" s="258"/>
      <c r="E349" s="235"/>
      <c r="F349" s="258"/>
      <c r="G349" s="266"/>
    </row>
    <row r="350" spans="1:19" x14ac:dyDescent="0.2">
      <c r="A350" s="324" t="s">
        <v>302</v>
      </c>
      <c r="B350" s="145" t="s">
        <v>62</v>
      </c>
      <c r="C350" s="146"/>
      <c r="D350" s="111"/>
      <c r="E350" s="235"/>
      <c r="F350" s="258"/>
      <c r="G350" s="271"/>
    </row>
    <row r="351" spans="1:19" s="40" customFormat="1" ht="14.25" customHeight="1" x14ac:dyDescent="0.2">
      <c r="A351" s="325" t="s">
        <v>137</v>
      </c>
      <c r="B351" s="147" t="s">
        <v>298</v>
      </c>
      <c r="C351" s="148" t="s">
        <v>104</v>
      </c>
      <c r="D351" s="149"/>
      <c r="E351" s="269"/>
      <c r="F351" s="256"/>
      <c r="G351" s="257"/>
      <c r="H351" s="16"/>
      <c r="I351" s="16"/>
      <c r="J351" s="16"/>
      <c r="K351" s="16"/>
      <c r="L351" s="16"/>
      <c r="M351" s="16"/>
      <c r="N351" s="16"/>
      <c r="O351" s="16"/>
      <c r="P351" s="16"/>
      <c r="Q351" s="16"/>
      <c r="R351" s="16"/>
      <c r="S351" s="16"/>
    </row>
    <row r="352" spans="1:19" s="40" customFormat="1" ht="25.5" customHeight="1" x14ac:dyDescent="0.2">
      <c r="A352" s="52"/>
      <c r="B352" s="112" t="s">
        <v>299</v>
      </c>
      <c r="C352" s="113" t="s">
        <v>14</v>
      </c>
      <c r="D352" s="55">
        <v>1</v>
      </c>
      <c r="E352" s="235"/>
      <c r="F352" s="238"/>
      <c r="G352" s="239">
        <f>(D352*E352)+(D352*F352)</f>
        <v>0</v>
      </c>
      <c r="H352" s="16"/>
      <c r="I352" s="16"/>
      <c r="J352" s="16"/>
      <c r="K352" s="16"/>
      <c r="L352" s="16"/>
      <c r="M352" s="16"/>
      <c r="N352" s="16"/>
      <c r="O352" s="16"/>
      <c r="P352" s="16"/>
      <c r="Q352" s="16"/>
      <c r="R352" s="16"/>
      <c r="S352" s="16"/>
    </row>
    <row r="353" spans="1:19" ht="12.75" thickBot="1" x14ac:dyDescent="0.25">
      <c r="A353" s="52"/>
      <c r="B353" s="112"/>
      <c r="C353" s="144"/>
      <c r="D353" s="55"/>
      <c r="E353" s="235"/>
      <c r="F353" s="238"/>
      <c r="G353" s="239"/>
    </row>
    <row r="354" spans="1:19" x14ac:dyDescent="0.2">
      <c r="A354" s="213"/>
      <c r="B354" s="210" t="s">
        <v>303</v>
      </c>
      <c r="C354" s="214"/>
      <c r="D354" s="310"/>
      <c r="E354" s="299"/>
      <c r="F354" s="300"/>
      <c r="G354" s="301"/>
    </row>
    <row r="355" spans="1:19" ht="12.75" thickBot="1" x14ac:dyDescent="0.25">
      <c r="A355" s="215"/>
      <c r="B355" s="175" t="s">
        <v>108</v>
      </c>
      <c r="C355" s="216"/>
      <c r="D355" s="311"/>
      <c r="E355" s="296"/>
      <c r="F355" s="302"/>
      <c r="G355" s="303">
        <f>SUM(G352:G354)</f>
        <v>0</v>
      </c>
    </row>
    <row r="356" spans="1:19" x14ac:dyDescent="0.2">
      <c r="A356" s="150"/>
      <c r="B356" s="92"/>
      <c r="C356" s="144"/>
      <c r="D356" s="55"/>
      <c r="E356" s="235"/>
      <c r="F356" s="238"/>
      <c r="G356" s="239"/>
    </row>
    <row r="357" spans="1:19" x14ac:dyDescent="0.2">
      <c r="A357" s="52"/>
      <c r="B357" s="106" t="s">
        <v>109</v>
      </c>
      <c r="C357" s="144"/>
      <c r="D357" s="55"/>
      <c r="E357" s="235"/>
      <c r="F357" s="238"/>
      <c r="G357" s="239"/>
    </row>
    <row r="358" spans="1:19" x14ac:dyDescent="0.2">
      <c r="A358" s="52"/>
      <c r="B358" s="76" t="s">
        <v>92</v>
      </c>
      <c r="C358" s="54"/>
      <c r="D358" s="55"/>
      <c r="E358" s="235"/>
      <c r="F358" s="238"/>
      <c r="G358" s="239"/>
    </row>
    <row r="359" spans="1:19" x14ac:dyDescent="0.2">
      <c r="A359" s="151" t="s">
        <v>110</v>
      </c>
      <c r="B359" s="60" t="s">
        <v>40</v>
      </c>
      <c r="C359" s="54"/>
      <c r="D359" s="55"/>
      <c r="E359" s="258"/>
      <c r="F359" s="238"/>
      <c r="G359" s="239"/>
    </row>
    <row r="360" spans="1:19" ht="48" x14ac:dyDescent="0.2">
      <c r="A360" s="151"/>
      <c r="B360" s="93" t="s">
        <v>200</v>
      </c>
      <c r="C360" s="107"/>
      <c r="D360" s="107"/>
      <c r="E360" s="264"/>
      <c r="F360" s="264"/>
      <c r="G360" s="265"/>
    </row>
    <row r="361" spans="1:19" ht="48" x14ac:dyDescent="0.2">
      <c r="A361" s="151"/>
      <c r="B361" s="93" t="s">
        <v>201</v>
      </c>
      <c r="C361" s="107"/>
      <c r="D361" s="107"/>
      <c r="E361" s="264"/>
      <c r="F361" s="264"/>
      <c r="G361" s="265"/>
    </row>
    <row r="362" spans="1:19" ht="60" x14ac:dyDescent="0.2">
      <c r="A362" s="151"/>
      <c r="B362" s="93" t="s">
        <v>199</v>
      </c>
      <c r="C362" s="107"/>
      <c r="D362" s="107"/>
      <c r="E362" s="264"/>
      <c r="F362" s="264"/>
      <c r="G362" s="265"/>
    </row>
    <row r="363" spans="1:19" ht="48" x14ac:dyDescent="0.2">
      <c r="A363" s="152"/>
      <c r="B363" s="93" t="s">
        <v>149</v>
      </c>
      <c r="C363" s="107"/>
      <c r="D363" s="107"/>
      <c r="E363" s="264"/>
      <c r="F363" s="264"/>
      <c r="G363" s="265"/>
    </row>
    <row r="364" spans="1:19" ht="24" x14ac:dyDescent="0.2">
      <c r="A364" s="151"/>
      <c r="B364" s="130" t="s">
        <v>258</v>
      </c>
      <c r="C364" s="107"/>
      <c r="D364" s="107"/>
      <c r="E364" s="264"/>
      <c r="F364" s="264"/>
      <c r="G364" s="265"/>
    </row>
    <row r="365" spans="1:19" x14ac:dyDescent="0.2">
      <c r="A365" s="326" t="s">
        <v>144</v>
      </c>
      <c r="B365" s="153" t="s">
        <v>62</v>
      </c>
      <c r="C365" s="154"/>
      <c r="D365" s="155"/>
      <c r="E365" s="269"/>
      <c r="F365" s="238"/>
      <c r="G365" s="239"/>
    </row>
    <row r="366" spans="1:19" s="28" customFormat="1" ht="15.75" customHeight="1" x14ac:dyDescent="0.2">
      <c r="A366" s="157" t="s">
        <v>304</v>
      </c>
      <c r="B366" s="156" t="s">
        <v>306</v>
      </c>
      <c r="C366" s="119"/>
      <c r="D366" s="120"/>
      <c r="E366" s="235"/>
      <c r="F366" s="238"/>
      <c r="G366" s="239">
        <f>D366*E366</f>
        <v>0</v>
      </c>
      <c r="H366" s="16"/>
      <c r="I366" s="16"/>
      <c r="J366" s="16"/>
      <c r="K366" s="16"/>
      <c r="L366" s="16"/>
      <c r="M366" s="16"/>
      <c r="N366" s="16"/>
      <c r="O366" s="16"/>
      <c r="P366" s="16"/>
      <c r="Q366" s="16"/>
      <c r="R366" s="16"/>
      <c r="S366" s="16"/>
    </row>
    <row r="367" spans="1:19" ht="38.25" x14ac:dyDescent="0.2">
      <c r="A367" s="157" t="s">
        <v>230</v>
      </c>
      <c r="B367" s="158" t="s">
        <v>305</v>
      </c>
      <c r="C367" s="159" t="s">
        <v>8</v>
      </c>
      <c r="D367" s="160">
        <v>1</v>
      </c>
      <c r="E367" s="273"/>
      <c r="F367" s="273"/>
      <c r="G367" s="274">
        <f>+D367*E367+D367*F367</f>
        <v>0</v>
      </c>
    </row>
    <row r="368" spans="1:19" ht="12.75" x14ac:dyDescent="0.2">
      <c r="A368" s="157"/>
      <c r="B368" s="161"/>
      <c r="C368" s="159"/>
      <c r="D368" s="160"/>
      <c r="E368" s="235"/>
      <c r="F368" s="273"/>
      <c r="G368" s="274">
        <f t="shared" ref="G368:G379" si="55">+D368*E368+D368*F368</f>
        <v>0</v>
      </c>
    </row>
    <row r="369" spans="1:7" ht="12.75" x14ac:dyDescent="0.2">
      <c r="A369" s="157" t="s">
        <v>307</v>
      </c>
      <c r="B369" s="156" t="s">
        <v>169</v>
      </c>
      <c r="C369" s="162"/>
      <c r="D369" s="163"/>
      <c r="E369" s="235"/>
      <c r="F369" s="273"/>
      <c r="G369" s="257">
        <f t="shared" si="55"/>
        <v>0</v>
      </c>
    </row>
    <row r="370" spans="1:7" ht="12" customHeight="1" x14ac:dyDescent="0.2">
      <c r="A370" s="157"/>
      <c r="B370" s="112" t="s">
        <v>242</v>
      </c>
      <c r="C370" s="119" t="s">
        <v>8</v>
      </c>
      <c r="D370" s="120">
        <v>1</v>
      </c>
      <c r="E370" s="235"/>
      <c r="F370" s="273"/>
      <c r="G370" s="257">
        <f t="shared" ref="G370" si="56">+D370*E370+D370*F370</f>
        <v>0</v>
      </c>
    </row>
    <row r="371" spans="1:7" ht="12" customHeight="1" x14ac:dyDescent="0.2">
      <c r="A371" s="157"/>
      <c r="B371" s="112" t="s">
        <v>243</v>
      </c>
      <c r="C371" s="119" t="s">
        <v>8</v>
      </c>
      <c r="D371" s="120">
        <v>1</v>
      </c>
      <c r="E371" s="235"/>
      <c r="F371" s="273"/>
      <c r="G371" s="257">
        <f t="shared" si="55"/>
        <v>0</v>
      </c>
    </row>
    <row r="372" spans="1:7" ht="12" customHeight="1" x14ac:dyDescent="0.2">
      <c r="A372" s="157"/>
      <c r="B372" s="112" t="s">
        <v>327</v>
      </c>
      <c r="C372" s="159" t="s">
        <v>8</v>
      </c>
      <c r="D372" s="120">
        <v>1</v>
      </c>
      <c r="E372" s="235"/>
      <c r="F372" s="273"/>
      <c r="G372" s="257">
        <f t="shared" ref="G372:G374" si="57">+D372*E372+D372*F372</f>
        <v>0</v>
      </c>
    </row>
    <row r="373" spans="1:7" ht="12" customHeight="1" x14ac:dyDescent="0.2">
      <c r="A373" s="157"/>
      <c r="B373" s="112" t="s">
        <v>328</v>
      </c>
      <c r="C373" s="119" t="s">
        <v>8</v>
      </c>
      <c r="D373" s="120">
        <v>1</v>
      </c>
      <c r="E373" s="235"/>
      <c r="F373" s="273"/>
      <c r="G373" s="257">
        <f t="shared" si="57"/>
        <v>0</v>
      </c>
    </row>
    <row r="374" spans="1:7" ht="12" customHeight="1" x14ac:dyDescent="0.2">
      <c r="A374" s="157"/>
      <c r="B374" s="112" t="s">
        <v>244</v>
      </c>
      <c r="C374" s="119" t="s">
        <v>8</v>
      </c>
      <c r="D374" s="120">
        <v>1</v>
      </c>
      <c r="E374" s="235"/>
      <c r="F374" s="273"/>
      <c r="G374" s="257">
        <f t="shared" si="57"/>
        <v>0</v>
      </c>
    </row>
    <row r="375" spans="1:7" ht="12.75" x14ac:dyDescent="0.2">
      <c r="A375" s="157" t="s">
        <v>308</v>
      </c>
      <c r="B375" s="156" t="s">
        <v>170</v>
      </c>
      <c r="C375" s="162"/>
      <c r="D375" s="163"/>
      <c r="E375" s="235"/>
      <c r="F375" s="273"/>
      <c r="G375" s="257">
        <f t="shared" si="55"/>
        <v>0</v>
      </c>
    </row>
    <row r="376" spans="1:7" ht="13.5" x14ac:dyDescent="0.2">
      <c r="A376" s="52" t="s">
        <v>137</v>
      </c>
      <c r="B376" s="112" t="s">
        <v>329</v>
      </c>
      <c r="C376" s="144" t="s">
        <v>171</v>
      </c>
      <c r="D376" s="55">
        <v>2</v>
      </c>
      <c r="E376" s="235"/>
      <c r="F376" s="273"/>
      <c r="G376" s="257">
        <f t="shared" si="55"/>
        <v>0</v>
      </c>
    </row>
    <row r="377" spans="1:7" ht="13.5" x14ac:dyDescent="0.2">
      <c r="A377" s="52" t="s">
        <v>138</v>
      </c>
      <c r="B377" s="112" t="s">
        <v>183</v>
      </c>
      <c r="C377" s="144" t="s">
        <v>171</v>
      </c>
      <c r="D377" s="55">
        <v>2</v>
      </c>
      <c r="E377" s="235"/>
      <c r="F377" s="273"/>
      <c r="G377" s="257">
        <f t="shared" si="55"/>
        <v>0</v>
      </c>
    </row>
    <row r="378" spans="1:7" ht="24" x14ac:dyDescent="0.2">
      <c r="A378" s="52" t="s">
        <v>148</v>
      </c>
      <c r="B378" s="334" t="s">
        <v>332</v>
      </c>
      <c r="C378" s="335" t="s">
        <v>171</v>
      </c>
      <c r="D378" s="62">
        <v>1</v>
      </c>
      <c r="E378" s="235"/>
      <c r="F378" s="273"/>
      <c r="G378" s="257"/>
    </row>
    <row r="379" spans="1:7" ht="13.5" x14ac:dyDescent="0.2">
      <c r="A379" s="52" t="s">
        <v>331</v>
      </c>
      <c r="B379" s="112" t="s">
        <v>184</v>
      </c>
      <c r="C379" s="144" t="s">
        <v>14</v>
      </c>
      <c r="D379" s="55">
        <v>1</v>
      </c>
      <c r="E379" s="235"/>
      <c r="F379" s="273"/>
      <c r="G379" s="257">
        <f t="shared" si="55"/>
        <v>0</v>
      </c>
    </row>
    <row r="380" spans="1:7" x14ac:dyDescent="0.2">
      <c r="A380" s="52"/>
      <c r="B380" s="112"/>
      <c r="C380" s="144"/>
      <c r="D380" s="55"/>
      <c r="E380" s="235"/>
      <c r="F380" s="238"/>
      <c r="G380" s="257"/>
    </row>
    <row r="381" spans="1:7" ht="12.75" customHeight="1" x14ac:dyDescent="0.2">
      <c r="A381" s="326" t="s">
        <v>309</v>
      </c>
      <c r="B381" s="153" t="s">
        <v>64</v>
      </c>
      <c r="C381" s="154"/>
      <c r="D381" s="155"/>
      <c r="E381" s="269"/>
      <c r="F381" s="238"/>
      <c r="G381" s="239"/>
    </row>
    <row r="382" spans="1:7" ht="12.75" customHeight="1" x14ac:dyDescent="0.2">
      <c r="A382" s="157" t="s">
        <v>310</v>
      </c>
      <c r="B382" s="156" t="s">
        <v>169</v>
      </c>
      <c r="C382" s="162"/>
      <c r="D382" s="163"/>
      <c r="E382" s="235"/>
      <c r="F382" s="273"/>
      <c r="G382" s="257">
        <f t="shared" ref="G382:G389" si="58">+D382*E382+D382*F382</f>
        <v>0</v>
      </c>
    </row>
    <row r="383" spans="1:7" ht="12.75" customHeight="1" x14ac:dyDescent="0.2">
      <c r="A383" s="157"/>
      <c r="B383" s="112" t="s">
        <v>242</v>
      </c>
      <c r="C383" s="119" t="s">
        <v>8</v>
      </c>
      <c r="D383" s="120">
        <v>1</v>
      </c>
      <c r="E383" s="235"/>
      <c r="F383" s="273"/>
      <c r="G383" s="257">
        <f t="shared" ref="G383:G385" si="59">+D383*E383+D383*F383</f>
        <v>0</v>
      </c>
    </row>
    <row r="384" spans="1:7" ht="12.75" customHeight="1" x14ac:dyDescent="0.2">
      <c r="A384" s="157"/>
      <c r="B384" s="112" t="s">
        <v>243</v>
      </c>
      <c r="C384" s="119" t="s">
        <v>8</v>
      </c>
      <c r="D384" s="120">
        <v>1</v>
      </c>
      <c r="E384" s="235"/>
      <c r="F384" s="273"/>
      <c r="G384" s="257">
        <f t="shared" si="59"/>
        <v>0</v>
      </c>
    </row>
    <row r="385" spans="1:7" ht="12" customHeight="1" x14ac:dyDescent="0.2">
      <c r="A385" s="157"/>
      <c r="B385" s="112" t="s">
        <v>327</v>
      </c>
      <c r="C385" s="159" t="s">
        <v>8</v>
      </c>
      <c r="D385" s="120">
        <v>1</v>
      </c>
      <c r="E385" s="235"/>
      <c r="F385" s="273"/>
      <c r="G385" s="257">
        <f t="shared" si="59"/>
        <v>0</v>
      </c>
    </row>
    <row r="386" spans="1:7" ht="12.75" customHeight="1" x14ac:dyDescent="0.2">
      <c r="A386" s="157"/>
      <c r="B386" s="161"/>
      <c r="C386" s="119"/>
      <c r="D386" s="120"/>
      <c r="E386" s="235"/>
      <c r="F386" s="273"/>
      <c r="G386" s="257"/>
    </row>
    <row r="387" spans="1:7" ht="12.75" customHeight="1" x14ac:dyDescent="0.2">
      <c r="A387" s="157" t="s">
        <v>311</v>
      </c>
      <c r="B387" s="156" t="s">
        <v>170</v>
      </c>
      <c r="C387" s="162"/>
      <c r="D387" s="163"/>
      <c r="E387" s="235"/>
      <c r="F387" s="273"/>
      <c r="G387" s="257">
        <f t="shared" si="58"/>
        <v>0</v>
      </c>
    </row>
    <row r="388" spans="1:7" ht="12.75" customHeight="1" x14ac:dyDescent="0.2">
      <c r="A388" s="52" t="s">
        <v>137</v>
      </c>
      <c r="B388" s="112" t="s">
        <v>329</v>
      </c>
      <c r="C388" s="144" t="s">
        <v>171</v>
      </c>
      <c r="D388" s="55">
        <v>2</v>
      </c>
      <c r="E388" s="235"/>
      <c r="F388" s="273"/>
      <c r="G388" s="257">
        <f t="shared" si="58"/>
        <v>0</v>
      </c>
    </row>
    <row r="389" spans="1:7" ht="12.75" customHeight="1" x14ac:dyDescent="0.2">
      <c r="A389" s="52" t="s">
        <v>138</v>
      </c>
      <c r="B389" s="112" t="s">
        <v>183</v>
      </c>
      <c r="C389" s="144" t="s">
        <v>171</v>
      </c>
      <c r="D389" s="55">
        <v>1</v>
      </c>
      <c r="E389" s="235"/>
      <c r="F389" s="273"/>
      <c r="G389" s="257">
        <f t="shared" si="58"/>
        <v>0</v>
      </c>
    </row>
    <row r="390" spans="1:7" ht="12.75" customHeight="1" x14ac:dyDescent="0.2">
      <c r="A390" s="52"/>
      <c r="B390" s="112"/>
      <c r="C390" s="144"/>
      <c r="D390" s="55"/>
      <c r="E390" s="235"/>
      <c r="F390" s="273"/>
      <c r="G390" s="257"/>
    </row>
    <row r="391" spans="1:7" ht="12.75" customHeight="1" x14ac:dyDescent="0.2">
      <c r="A391" s="326" t="s">
        <v>312</v>
      </c>
      <c r="B391" s="153" t="s">
        <v>236</v>
      </c>
      <c r="C391" s="154"/>
      <c r="D391" s="155"/>
      <c r="E391" s="269"/>
      <c r="F391" s="238"/>
      <c r="G391" s="239"/>
    </row>
    <row r="392" spans="1:7" ht="12.75" customHeight="1" x14ac:dyDescent="0.2">
      <c r="A392" s="157" t="s">
        <v>313</v>
      </c>
      <c r="B392" s="156" t="s">
        <v>169</v>
      </c>
      <c r="C392" s="162"/>
      <c r="D392" s="163"/>
      <c r="E392" s="235"/>
      <c r="F392" s="273"/>
      <c r="G392" s="257">
        <f t="shared" ref="G392:G395" si="60">+D392*E392+D392*F392</f>
        <v>0</v>
      </c>
    </row>
    <row r="393" spans="1:7" ht="12.75" customHeight="1" x14ac:dyDescent="0.2">
      <c r="A393" s="157"/>
      <c r="B393" s="278" t="s">
        <v>242</v>
      </c>
      <c r="C393" s="119" t="s">
        <v>8</v>
      </c>
      <c r="D393" s="120">
        <v>1</v>
      </c>
      <c r="E393" s="235"/>
      <c r="F393" s="273"/>
      <c r="G393" s="257">
        <f t="shared" si="60"/>
        <v>0</v>
      </c>
    </row>
    <row r="394" spans="1:7" ht="12.75" customHeight="1" x14ac:dyDescent="0.2">
      <c r="A394" s="157"/>
      <c r="B394" s="278" t="s">
        <v>243</v>
      </c>
      <c r="C394" s="119" t="s">
        <v>8</v>
      </c>
      <c r="D394" s="120">
        <v>1</v>
      </c>
      <c r="E394" s="235"/>
      <c r="F394" s="273"/>
      <c r="G394" s="257">
        <f t="shared" si="60"/>
        <v>0</v>
      </c>
    </row>
    <row r="395" spans="1:7" ht="12" customHeight="1" x14ac:dyDescent="0.2">
      <c r="A395" s="157"/>
      <c r="B395" s="278" t="s">
        <v>327</v>
      </c>
      <c r="C395" s="159" t="s">
        <v>8</v>
      </c>
      <c r="D395" s="120">
        <v>1</v>
      </c>
      <c r="E395" s="235"/>
      <c r="F395" s="273"/>
      <c r="G395" s="257">
        <f t="shared" si="60"/>
        <v>0</v>
      </c>
    </row>
    <row r="396" spans="1:7" ht="12.75" customHeight="1" x14ac:dyDescent="0.2">
      <c r="A396" s="157"/>
      <c r="B396" s="161"/>
      <c r="C396" s="119"/>
      <c r="D396" s="120"/>
      <c r="E396" s="235"/>
      <c r="F396" s="273"/>
      <c r="G396" s="257"/>
    </row>
    <row r="397" spans="1:7" ht="12.75" customHeight="1" x14ac:dyDescent="0.2">
      <c r="A397" s="157" t="s">
        <v>314</v>
      </c>
      <c r="B397" s="156" t="s">
        <v>170</v>
      </c>
      <c r="C397" s="162"/>
      <c r="D397" s="163"/>
      <c r="E397" s="235"/>
      <c r="F397" s="273"/>
      <c r="G397" s="257">
        <f t="shared" ref="G397:G399" si="61">+D397*E397+D397*F397</f>
        <v>0</v>
      </c>
    </row>
    <row r="398" spans="1:7" ht="12.75" customHeight="1" x14ac:dyDescent="0.2">
      <c r="A398" s="52" t="s">
        <v>137</v>
      </c>
      <c r="B398" s="112" t="s">
        <v>329</v>
      </c>
      <c r="C398" s="144" t="s">
        <v>171</v>
      </c>
      <c r="D398" s="55">
        <v>2</v>
      </c>
      <c r="E398" s="235"/>
      <c r="F398" s="273"/>
      <c r="G398" s="257">
        <f t="shared" si="61"/>
        <v>0</v>
      </c>
    </row>
    <row r="399" spans="1:7" ht="12.75" customHeight="1" x14ac:dyDescent="0.2">
      <c r="A399" s="52" t="s">
        <v>138</v>
      </c>
      <c r="B399" s="112" t="s">
        <v>183</v>
      </c>
      <c r="C399" s="144" t="s">
        <v>171</v>
      </c>
      <c r="D399" s="55">
        <v>1</v>
      </c>
      <c r="E399" s="235"/>
      <c r="F399" s="273"/>
      <c r="G399" s="257">
        <f t="shared" si="61"/>
        <v>0</v>
      </c>
    </row>
    <row r="400" spans="1:7" ht="12.75" customHeight="1" thickBot="1" x14ac:dyDescent="0.25">
      <c r="A400" s="157"/>
      <c r="B400" s="161"/>
      <c r="C400" s="159"/>
      <c r="D400" s="160"/>
      <c r="E400" s="235"/>
      <c r="F400" s="273"/>
      <c r="G400" s="257"/>
    </row>
    <row r="401" spans="1:9" x14ac:dyDescent="0.2">
      <c r="A401" s="213"/>
      <c r="B401" s="210" t="s">
        <v>315</v>
      </c>
      <c r="C401" s="312"/>
      <c r="D401" s="313"/>
      <c r="E401" s="314"/>
      <c r="F401" s="300"/>
      <c r="G401" s="301"/>
    </row>
    <row r="402" spans="1:9" ht="12.75" thickBot="1" x14ac:dyDescent="0.25">
      <c r="A402" s="215"/>
      <c r="B402" s="175" t="s">
        <v>111</v>
      </c>
      <c r="C402" s="315"/>
      <c r="D402" s="316"/>
      <c r="E402" s="317"/>
      <c r="F402" s="302"/>
      <c r="G402" s="303">
        <f>SUM(G366:G401)</f>
        <v>0</v>
      </c>
      <c r="I402" s="39"/>
    </row>
    <row r="403" spans="1:9" x14ac:dyDescent="0.2">
      <c r="A403" s="164"/>
      <c r="B403" s="106" t="s">
        <v>112</v>
      </c>
      <c r="C403" s="54"/>
      <c r="D403" s="103"/>
      <c r="E403" s="235"/>
      <c r="F403" s="238"/>
      <c r="G403" s="239"/>
    </row>
    <row r="404" spans="1:9" x14ac:dyDescent="0.2">
      <c r="A404" s="164"/>
      <c r="B404" s="76" t="s">
        <v>320</v>
      </c>
      <c r="C404" s="54"/>
      <c r="D404" s="103"/>
      <c r="E404" s="235"/>
      <c r="F404" s="238"/>
      <c r="G404" s="239"/>
    </row>
    <row r="405" spans="1:9" s="277" customFormat="1" x14ac:dyDescent="0.2">
      <c r="A405" s="327">
        <v>10.1</v>
      </c>
      <c r="B405" s="290" t="s">
        <v>213</v>
      </c>
      <c r="C405" s="113"/>
      <c r="D405" s="291"/>
      <c r="E405" s="235"/>
      <c r="F405" s="238"/>
      <c r="G405" s="239"/>
    </row>
    <row r="406" spans="1:9" ht="36" x14ac:dyDescent="0.2">
      <c r="A406" s="164"/>
      <c r="B406" s="112" t="s">
        <v>316</v>
      </c>
      <c r="C406" s="144"/>
      <c r="D406" s="103"/>
      <c r="E406" s="235"/>
      <c r="F406" s="238"/>
      <c r="G406" s="239"/>
    </row>
    <row r="407" spans="1:9" ht="24" x14ac:dyDescent="0.2">
      <c r="A407" s="164"/>
      <c r="B407" s="112" t="s">
        <v>317</v>
      </c>
      <c r="C407" s="144"/>
      <c r="D407" s="103"/>
      <c r="E407" s="235"/>
      <c r="F407" s="238"/>
      <c r="G407" s="239"/>
    </row>
    <row r="408" spans="1:9" ht="36" x14ac:dyDescent="0.2">
      <c r="A408" s="164"/>
      <c r="B408" s="112" t="s">
        <v>318</v>
      </c>
      <c r="C408" s="144"/>
      <c r="D408" s="103"/>
      <c r="E408" s="235"/>
      <c r="F408" s="238"/>
      <c r="G408" s="239"/>
    </row>
    <row r="409" spans="1:9" x14ac:dyDescent="0.2">
      <c r="A409" s="164">
        <v>10.199999999999999</v>
      </c>
      <c r="B409" s="167" t="s">
        <v>319</v>
      </c>
      <c r="C409" s="168"/>
      <c r="D409" s="169"/>
      <c r="E409" s="269"/>
      <c r="F409" s="256"/>
      <c r="G409" s="257"/>
    </row>
    <row r="410" spans="1:9" ht="48" x14ac:dyDescent="0.2">
      <c r="A410" s="164"/>
      <c r="B410" s="112" t="s">
        <v>326</v>
      </c>
      <c r="C410" s="144" t="s">
        <v>104</v>
      </c>
      <c r="D410" s="103">
        <v>1</v>
      </c>
      <c r="E410" s="235"/>
      <c r="F410" s="238"/>
      <c r="G410" s="257">
        <f t="shared" ref="G410" si="62">+D410*E410+D410*F410</f>
        <v>0</v>
      </c>
    </row>
    <row r="411" spans="1:9" ht="12.75" customHeight="1" x14ac:dyDescent="0.2">
      <c r="A411" s="173"/>
      <c r="B411" s="170"/>
      <c r="C411" s="171"/>
      <c r="D411" s="169"/>
      <c r="E411" s="269"/>
      <c r="F411" s="256"/>
      <c r="G411" s="257"/>
    </row>
    <row r="412" spans="1:9" ht="12.75" customHeight="1" x14ac:dyDescent="0.2">
      <c r="A412" s="173"/>
      <c r="B412" s="170"/>
      <c r="C412" s="171"/>
      <c r="D412" s="169"/>
      <c r="E412" s="269"/>
      <c r="F412" s="256"/>
      <c r="G412" s="257"/>
    </row>
    <row r="413" spans="1:9" ht="12.75" customHeight="1" x14ac:dyDescent="0.2">
      <c r="A413" s="173"/>
      <c r="B413" s="170"/>
      <c r="C413" s="171"/>
      <c r="D413" s="169"/>
      <c r="E413" s="269"/>
      <c r="F413" s="256"/>
      <c r="G413" s="257"/>
    </row>
    <row r="414" spans="1:9" ht="12.75" customHeight="1" thickBot="1" x14ac:dyDescent="0.25">
      <c r="A414" s="173"/>
      <c r="B414" s="170"/>
      <c r="C414" s="171"/>
      <c r="D414" s="169"/>
      <c r="E414" s="269"/>
      <c r="F414" s="256"/>
      <c r="G414" s="257"/>
    </row>
    <row r="415" spans="1:9" ht="12.75" customHeight="1" x14ac:dyDescent="0.2">
      <c r="A415" s="217"/>
      <c r="B415" s="210" t="s">
        <v>321</v>
      </c>
      <c r="C415" s="312"/>
      <c r="D415" s="318"/>
      <c r="E415" s="314"/>
      <c r="F415" s="300"/>
      <c r="G415" s="301"/>
    </row>
    <row r="416" spans="1:9" ht="12.75" customHeight="1" thickBot="1" x14ac:dyDescent="0.25">
      <c r="A416" s="218"/>
      <c r="B416" s="175" t="s">
        <v>114</v>
      </c>
      <c r="C416" s="315"/>
      <c r="D416" s="319"/>
      <c r="E416" s="317"/>
      <c r="F416" s="302"/>
      <c r="G416" s="303">
        <f>SUM(G406:G415)</f>
        <v>0</v>
      </c>
    </row>
    <row r="417" spans="1:7" ht="12.75" customHeight="1" x14ac:dyDescent="0.2">
      <c r="A417" s="164"/>
      <c r="B417" s="106" t="s">
        <v>115</v>
      </c>
      <c r="C417" s="54"/>
      <c r="D417" s="103"/>
      <c r="E417" s="235"/>
      <c r="F417" s="238"/>
      <c r="G417" s="239"/>
    </row>
    <row r="418" spans="1:7" ht="12.75" customHeight="1" x14ac:dyDescent="0.2">
      <c r="A418" s="164"/>
      <c r="B418" s="76" t="s">
        <v>215</v>
      </c>
      <c r="C418" s="54"/>
      <c r="D418" s="103"/>
      <c r="E418" s="235"/>
      <c r="F418" s="238"/>
      <c r="G418" s="239"/>
    </row>
    <row r="419" spans="1:7" ht="12.75" customHeight="1" x14ac:dyDescent="0.2">
      <c r="A419" s="172">
        <v>11.1</v>
      </c>
      <c r="B419" s="142" t="s">
        <v>40</v>
      </c>
      <c r="C419" s="165"/>
      <c r="D419" s="166"/>
      <c r="E419" s="235"/>
      <c r="F419" s="238"/>
      <c r="G419" s="239"/>
    </row>
    <row r="420" spans="1:7" ht="12.75" customHeight="1" x14ac:dyDescent="0.2">
      <c r="A420" s="172"/>
      <c r="B420" s="142" t="s">
        <v>217</v>
      </c>
      <c r="C420" s="165"/>
      <c r="D420" s="166"/>
      <c r="E420" s="235"/>
      <c r="F420" s="238"/>
      <c r="G420" s="239"/>
    </row>
    <row r="421" spans="1:7" ht="12.75" customHeight="1" x14ac:dyDescent="0.2">
      <c r="A421" s="164"/>
      <c r="B421" s="112"/>
      <c r="C421" s="144"/>
      <c r="D421" s="103"/>
      <c r="E421" s="235"/>
      <c r="F421" s="238"/>
      <c r="G421" s="239"/>
    </row>
    <row r="422" spans="1:7" ht="12.75" customHeight="1" x14ac:dyDescent="0.2">
      <c r="A422" s="164"/>
      <c r="B422" s="112"/>
      <c r="C422" s="144"/>
      <c r="D422" s="103"/>
      <c r="E422" s="235"/>
      <c r="F422" s="238"/>
      <c r="G422" s="239"/>
    </row>
    <row r="423" spans="1:7" ht="12.75" customHeight="1" x14ac:dyDescent="0.2">
      <c r="A423" s="164"/>
      <c r="B423" s="112"/>
      <c r="C423" s="144"/>
      <c r="D423" s="103"/>
      <c r="E423" s="235"/>
      <c r="F423" s="238"/>
      <c r="G423" s="239"/>
    </row>
    <row r="424" spans="1:7" ht="12.75" customHeight="1" x14ac:dyDescent="0.2">
      <c r="A424" s="164"/>
      <c r="B424" s="112"/>
      <c r="C424" s="144"/>
      <c r="D424" s="103"/>
      <c r="E424" s="235"/>
      <c r="F424" s="238"/>
      <c r="G424" s="239"/>
    </row>
    <row r="425" spans="1:7" ht="12.75" customHeight="1" x14ac:dyDescent="0.2">
      <c r="A425" s="164"/>
      <c r="B425" s="112"/>
      <c r="C425" s="144"/>
      <c r="D425" s="103"/>
      <c r="E425" s="235"/>
      <c r="F425" s="238"/>
      <c r="G425" s="239"/>
    </row>
    <row r="426" spans="1:7" ht="12.75" customHeight="1" x14ac:dyDescent="0.2">
      <c r="A426" s="164"/>
      <c r="B426" s="112"/>
      <c r="C426" s="144"/>
      <c r="D426" s="103"/>
      <c r="E426" s="235"/>
      <c r="F426" s="238"/>
      <c r="G426" s="257">
        <f t="shared" ref="G426" si="63">+D426*E426+D426*F426</f>
        <v>0</v>
      </c>
    </row>
    <row r="427" spans="1:7" ht="12.75" customHeight="1" x14ac:dyDescent="0.2">
      <c r="A427" s="164"/>
      <c r="B427" s="112"/>
      <c r="C427" s="144"/>
      <c r="D427" s="103"/>
      <c r="E427" s="235"/>
      <c r="F427" s="238"/>
      <c r="G427" s="239"/>
    </row>
    <row r="428" spans="1:7" ht="12.75" customHeight="1" x14ac:dyDescent="0.2">
      <c r="A428" s="164"/>
      <c r="B428" s="112"/>
      <c r="C428" s="144"/>
      <c r="D428" s="103"/>
      <c r="E428" s="235"/>
      <c r="F428" s="238"/>
      <c r="G428" s="239"/>
    </row>
    <row r="429" spans="1:7" ht="12.75" customHeight="1" x14ac:dyDescent="0.2">
      <c r="A429" s="164"/>
      <c r="B429" s="112"/>
      <c r="C429" s="144"/>
      <c r="D429" s="103"/>
      <c r="E429" s="235"/>
      <c r="F429" s="238"/>
      <c r="G429" s="239"/>
    </row>
    <row r="430" spans="1:7" ht="12.75" customHeight="1" x14ac:dyDescent="0.2">
      <c r="A430" s="164"/>
      <c r="B430" s="112"/>
      <c r="C430" s="144"/>
      <c r="D430" s="103"/>
      <c r="E430" s="235"/>
      <c r="F430" s="238"/>
      <c r="G430" s="239"/>
    </row>
    <row r="431" spans="1:7" ht="12.75" customHeight="1" x14ac:dyDescent="0.2">
      <c r="A431" s="164"/>
      <c r="B431" s="112"/>
      <c r="C431" s="144"/>
      <c r="D431" s="103"/>
      <c r="E431" s="235"/>
      <c r="F431" s="238"/>
      <c r="G431" s="239"/>
    </row>
    <row r="432" spans="1:7" ht="12.75" customHeight="1" x14ac:dyDescent="0.2">
      <c r="A432" s="164"/>
      <c r="B432" s="112"/>
      <c r="C432" s="144"/>
      <c r="D432" s="103"/>
      <c r="E432" s="235"/>
      <c r="F432" s="238"/>
      <c r="G432" s="239"/>
    </row>
    <row r="433" spans="1:7" ht="12.75" customHeight="1" x14ac:dyDescent="0.2">
      <c r="A433" s="164"/>
      <c r="B433" s="112"/>
      <c r="C433" s="144"/>
      <c r="D433" s="103"/>
      <c r="E433" s="235"/>
      <c r="F433" s="238"/>
      <c r="G433" s="239"/>
    </row>
    <row r="434" spans="1:7" ht="12.75" customHeight="1" x14ac:dyDescent="0.2">
      <c r="A434" s="164"/>
      <c r="B434" s="112"/>
      <c r="C434" s="144"/>
      <c r="D434" s="103"/>
      <c r="E434" s="235"/>
      <c r="F434" s="238"/>
      <c r="G434" s="239"/>
    </row>
    <row r="435" spans="1:7" ht="12.75" customHeight="1" x14ac:dyDescent="0.2">
      <c r="A435" s="164"/>
      <c r="B435" s="112"/>
      <c r="C435" s="144"/>
      <c r="D435" s="103"/>
      <c r="E435" s="235"/>
      <c r="F435" s="238"/>
      <c r="G435" s="239"/>
    </row>
    <row r="436" spans="1:7" ht="12.75" customHeight="1" x14ac:dyDescent="0.2">
      <c r="A436" s="164"/>
      <c r="B436" s="112"/>
      <c r="C436" s="144"/>
      <c r="D436" s="103"/>
      <c r="E436" s="235"/>
      <c r="F436" s="238"/>
      <c r="G436" s="239"/>
    </row>
    <row r="437" spans="1:7" ht="12.75" customHeight="1" x14ac:dyDescent="0.2">
      <c r="A437" s="164"/>
      <c r="B437" s="112"/>
      <c r="C437" s="144"/>
      <c r="D437" s="103"/>
      <c r="E437" s="235"/>
      <c r="F437" s="238"/>
      <c r="G437" s="239"/>
    </row>
    <row r="438" spans="1:7" ht="12.75" customHeight="1" x14ac:dyDescent="0.2">
      <c r="A438" s="164"/>
      <c r="B438" s="112"/>
      <c r="C438" s="144"/>
      <c r="D438" s="103"/>
      <c r="E438" s="235"/>
      <c r="F438" s="238"/>
      <c r="G438" s="239"/>
    </row>
    <row r="439" spans="1:7" ht="12.75" customHeight="1" x14ac:dyDescent="0.2">
      <c r="A439" s="164"/>
      <c r="B439" s="112"/>
      <c r="C439" s="144"/>
      <c r="D439" s="103"/>
      <c r="E439" s="235"/>
      <c r="F439" s="238"/>
      <c r="G439" s="239"/>
    </row>
    <row r="440" spans="1:7" ht="12.75" customHeight="1" x14ac:dyDescent="0.2">
      <c r="A440" s="164"/>
      <c r="B440" s="112"/>
      <c r="C440" s="144"/>
      <c r="D440" s="103"/>
      <c r="E440" s="235"/>
      <c r="F440" s="238"/>
      <c r="G440" s="239"/>
    </row>
    <row r="441" spans="1:7" ht="12.75" customHeight="1" x14ac:dyDescent="0.2">
      <c r="A441" s="164"/>
      <c r="B441" s="112"/>
      <c r="C441" s="144"/>
      <c r="D441" s="103"/>
      <c r="E441" s="235"/>
      <c r="F441" s="238"/>
      <c r="G441" s="239"/>
    </row>
    <row r="442" spans="1:7" ht="12.75" customHeight="1" x14ac:dyDescent="0.2">
      <c r="A442" s="164"/>
      <c r="B442" s="112"/>
      <c r="C442" s="144"/>
      <c r="D442" s="103"/>
      <c r="E442" s="235"/>
      <c r="F442" s="238"/>
      <c r="G442" s="239"/>
    </row>
    <row r="443" spans="1:7" ht="12.75" customHeight="1" x14ac:dyDescent="0.2">
      <c r="A443" s="164"/>
      <c r="B443" s="112"/>
      <c r="C443" s="144"/>
      <c r="D443" s="103"/>
      <c r="E443" s="235"/>
      <c r="F443" s="238"/>
      <c r="G443" s="239"/>
    </row>
    <row r="444" spans="1:7" ht="12.75" customHeight="1" x14ac:dyDescent="0.2">
      <c r="A444" s="164"/>
      <c r="B444" s="112"/>
      <c r="C444" s="144"/>
      <c r="D444" s="103"/>
      <c r="E444" s="235"/>
      <c r="F444" s="238"/>
      <c r="G444" s="239"/>
    </row>
    <row r="445" spans="1:7" ht="12.75" customHeight="1" x14ac:dyDescent="0.2">
      <c r="A445" s="164"/>
      <c r="B445" s="112"/>
      <c r="C445" s="144"/>
      <c r="D445" s="103"/>
      <c r="E445" s="235"/>
      <c r="F445" s="238"/>
      <c r="G445" s="239"/>
    </row>
    <row r="446" spans="1:7" ht="12.75" customHeight="1" x14ac:dyDescent="0.2">
      <c r="A446" s="164"/>
      <c r="B446" s="112"/>
      <c r="C446" s="144"/>
      <c r="D446" s="103"/>
      <c r="E446" s="235"/>
      <c r="F446" s="238"/>
      <c r="G446" s="239"/>
    </row>
    <row r="447" spans="1:7" ht="12.75" customHeight="1" x14ac:dyDescent="0.2">
      <c r="A447" s="164"/>
      <c r="B447" s="112"/>
      <c r="C447" s="144"/>
      <c r="D447" s="103"/>
      <c r="E447" s="235"/>
      <c r="F447" s="238"/>
      <c r="G447" s="239"/>
    </row>
    <row r="448" spans="1:7" ht="12.75" customHeight="1" x14ac:dyDescent="0.2">
      <c r="A448" s="164"/>
      <c r="B448" s="112"/>
      <c r="C448" s="144"/>
      <c r="D448" s="103"/>
      <c r="E448" s="235"/>
      <c r="F448" s="238"/>
      <c r="G448" s="239"/>
    </row>
    <row r="449" spans="1:7" ht="12.75" customHeight="1" x14ac:dyDescent="0.2">
      <c r="A449" s="164"/>
      <c r="B449" s="112"/>
      <c r="C449" s="144"/>
      <c r="D449" s="103"/>
      <c r="E449" s="235"/>
      <c r="F449" s="238"/>
      <c r="G449" s="239"/>
    </row>
    <row r="450" spans="1:7" ht="12.75" customHeight="1" x14ac:dyDescent="0.2">
      <c r="A450" s="164"/>
      <c r="B450" s="112"/>
      <c r="C450" s="144"/>
      <c r="D450" s="103"/>
      <c r="E450" s="235"/>
      <c r="F450" s="238"/>
      <c r="G450" s="239"/>
    </row>
    <row r="451" spans="1:7" ht="12.75" customHeight="1" thickBot="1" x14ac:dyDescent="0.25">
      <c r="A451" s="164"/>
      <c r="B451" s="112"/>
      <c r="C451" s="144"/>
      <c r="D451" s="103"/>
      <c r="E451" s="235"/>
      <c r="F451" s="238"/>
      <c r="G451" s="239"/>
    </row>
    <row r="452" spans="1:7" ht="12.75" customHeight="1" x14ac:dyDescent="0.2">
      <c r="A452" s="217"/>
      <c r="B452" s="210" t="s">
        <v>322</v>
      </c>
      <c r="C452" s="312"/>
      <c r="D452" s="318"/>
      <c r="E452" s="314"/>
      <c r="F452" s="300"/>
      <c r="G452" s="301"/>
    </row>
    <row r="453" spans="1:7" ht="12.75" customHeight="1" thickBot="1" x14ac:dyDescent="0.25">
      <c r="A453" s="218"/>
      <c r="B453" s="175" t="s">
        <v>116</v>
      </c>
      <c r="C453" s="315"/>
      <c r="D453" s="319"/>
      <c r="E453" s="317"/>
      <c r="F453" s="302"/>
      <c r="G453" s="303">
        <f>SUM(G418:G452)</f>
        <v>0</v>
      </c>
    </row>
    <row r="454" spans="1:7" ht="12.75" customHeight="1" x14ac:dyDescent="0.2">
      <c r="A454" s="164"/>
      <c r="B454" s="106" t="s">
        <v>212</v>
      </c>
      <c r="C454" s="54"/>
      <c r="D454" s="103"/>
      <c r="E454" s="235"/>
      <c r="F454" s="238"/>
      <c r="G454" s="239"/>
    </row>
    <row r="455" spans="1:7" ht="12.75" customHeight="1" x14ac:dyDescent="0.2">
      <c r="A455" s="164"/>
      <c r="B455" s="76" t="s">
        <v>216</v>
      </c>
      <c r="C455" s="54"/>
      <c r="D455" s="103"/>
      <c r="E455" s="235"/>
      <c r="F455" s="238"/>
      <c r="G455" s="239"/>
    </row>
    <row r="456" spans="1:7" ht="12.75" customHeight="1" x14ac:dyDescent="0.2">
      <c r="A456" s="172">
        <v>12.1</v>
      </c>
      <c r="B456" s="142" t="s">
        <v>40</v>
      </c>
      <c r="C456" s="165"/>
      <c r="D456" s="166"/>
      <c r="E456" s="235"/>
      <c r="F456" s="238"/>
      <c r="G456" s="239"/>
    </row>
    <row r="457" spans="1:7" ht="12.75" customHeight="1" x14ac:dyDescent="0.2">
      <c r="A457" s="173"/>
      <c r="B457" s="174" t="s">
        <v>227</v>
      </c>
      <c r="C457" s="141"/>
      <c r="D457" s="103"/>
      <c r="E457" s="235"/>
      <c r="F457" s="238"/>
      <c r="G457" s="239"/>
    </row>
    <row r="458" spans="1:7" ht="12.75" customHeight="1" x14ac:dyDescent="0.2">
      <c r="A458" s="164"/>
      <c r="B458" s="112"/>
      <c r="C458" s="144"/>
      <c r="D458" s="103"/>
      <c r="E458" s="235"/>
      <c r="F458" s="238"/>
      <c r="G458" s="239"/>
    </row>
    <row r="459" spans="1:7" ht="12.75" customHeight="1" x14ac:dyDescent="0.2">
      <c r="A459" s="164"/>
      <c r="B459" s="112"/>
      <c r="C459" s="144"/>
      <c r="D459" s="103"/>
      <c r="E459" s="235"/>
      <c r="F459" s="238"/>
      <c r="G459" s="239"/>
    </row>
    <row r="460" spans="1:7" ht="12.75" customHeight="1" x14ac:dyDescent="0.2">
      <c r="A460" s="164"/>
      <c r="B460" s="112"/>
      <c r="C460" s="144"/>
      <c r="D460" s="103"/>
      <c r="E460" s="235"/>
      <c r="F460" s="238"/>
      <c r="G460" s="239"/>
    </row>
    <row r="461" spans="1:7" ht="12.75" customHeight="1" x14ac:dyDescent="0.2">
      <c r="A461" s="164"/>
      <c r="B461" s="112"/>
      <c r="C461" s="144"/>
      <c r="D461" s="103"/>
      <c r="E461" s="235"/>
      <c r="F461" s="238"/>
      <c r="G461" s="239"/>
    </row>
    <row r="462" spans="1:7" ht="12.75" customHeight="1" x14ac:dyDescent="0.2">
      <c r="A462" s="164"/>
      <c r="B462" s="112"/>
      <c r="C462" s="144"/>
      <c r="D462" s="103"/>
      <c r="E462" s="235"/>
      <c r="F462" s="238"/>
      <c r="G462" s="239"/>
    </row>
    <row r="463" spans="1:7" ht="12.75" customHeight="1" x14ac:dyDescent="0.2">
      <c r="A463" s="164"/>
      <c r="B463" s="112"/>
      <c r="C463" s="144"/>
      <c r="D463" s="103"/>
      <c r="E463" s="235"/>
      <c r="F463" s="238"/>
      <c r="G463" s="257">
        <f t="shared" ref="G463" si="64">+D463*E463+D463*F463</f>
        <v>0</v>
      </c>
    </row>
    <row r="464" spans="1:7" ht="12.75" customHeight="1" x14ac:dyDescent="0.2">
      <c r="A464" s="164"/>
      <c r="B464" s="112"/>
      <c r="C464" s="144"/>
      <c r="D464" s="103"/>
      <c r="E464" s="235"/>
      <c r="F464" s="238"/>
      <c r="G464" s="239"/>
    </row>
    <row r="465" spans="1:7" ht="12.75" customHeight="1" x14ac:dyDescent="0.2">
      <c r="A465" s="164"/>
      <c r="B465" s="112"/>
      <c r="C465" s="144"/>
      <c r="D465" s="103"/>
      <c r="E465" s="235"/>
      <c r="F465" s="238"/>
      <c r="G465" s="239"/>
    </row>
    <row r="466" spans="1:7" ht="12.75" customHeight="1" x14ac:dyDescent="0.2">
      <c r="A466" s="164"/>
      <c r="B466" s="112"/>
      <c r="C466" s="144"/>
      <c r="D466" s="103"/>
      <c r="E466" s="235"/>
      <c r="F466" s="238"/>
      <c r="G466" s="239"/>
    </row>
    <row r="467" spans="1:7" ht="12.75" customHeight="1" x14ac:dyDescent="0.2">
      <c r="A467" s="164"/>
      <c r="B467" s="112"/>
      <c r="C467" s="144"/>
      <c r="D467" s="103"/>
      <c r="E467" s="235"/>
      <c r="F467" s="238"/>
      <c r="G467" s="239"/>
    </row>
    <row r="468" spans="1:7" ht="12.75" customHeight="1" x14ac:dyDescent="0.2">
      <c r="A468" s="164"/>
      <c r="B468" s="112"/>
      <c r="C468" s="144"/>
      <c r="D468" s="103"/>
      <c r="E468" s="235"/>
      <c r="F468" s="238"/>
      <c r="G468" s="239"/>
    </row>
    <row r="469" spans="1:7" ht="12.75" customHeight="1" x14ac:dyDescent="0.2">
      <c r="A469" s="164"/>
      <c r="B469" s="112"/>
      <c r="C469" s="144"/>
      <c r="D469" s="103"/>
      <c r="E469" s="235"/>
      <c r="F469" s="238"/>
      <c r="G469" s="239"/>
    </row>
    <row r="470" spans="1:7" ht="12.75" customHeight="1" x14ac:dyDescent="0.2">
      <c r="A470" s="164"/>
      <c r="B470" s="112"/>
      <c r="C470" s="144"/>
      <c r="D470" s="103"/>
      <c r="E470" s="235"/>
      <c r="F470" s="238"/>
      <c r="G470" s="239"/>
    </row>
    <row r="471" spans="1:7" ht="12.75" customHeight="1" x14ac:dyDescent="0.2">
      <c r="A471" s="164"/>
      <c r="B471" s="112"/>
      <c r="C471" s="144"/>
      <c r="D471" s="103"/>
      <c r="E471" s="235"/>
      <c r="F471" s="238"/>
      <c r="G471" s="239"/>
    </row>
    <row r="472" spans="1:7" ht="12.75" customHeight="1" x14ac:dyDescent="0.2">
      <c r="A472" s="164"/>
      <c r="B472" s="112"/>
      <c r="C472" s="144"/>
      <c r="D472" s="103"/>
      <c r="E472" s="235"/>
      <c r="F472" s="238"/>
      <c r="G472" s="239"/>
    </row>
    <row r="473" spans="1:7" ht="12.75" customHeight="1" x14ac:dyDescent="0.2">
      <c r="A473" s="164"/>
      <c r="B473" s="112"/>
      <c r="C473" s="144"/>
      <c r="D473" s="103"/>
      <c r="E473" s="235"/>
      <c r="F473" s="238"/>
      <c r="G473" s="239"/>
    </row>
    <row r="474" spans="1:7" ht="12.75" customHeight="1" x14ac:dyDescent="0.2">
      <c r="A474" s="164"/>
      <c r="B474" s="112"/>
      <c r="C474" s="144"/>
      <c r="D474" s="103"/>
      <c r="E474" s="235"/>
      <c r="F474" s="238"/>
      <c r="G474" s="239"/>
    </row>
    <row r="475" spans="1:7" ht="12.75" customHeight="1" x14ac:dyDescent="0.2">
      <c r="A475" s="164"/>
      <c r="B475" s="112"/>
      <c r="C475" s="144"/>
      <c r="D475" s="103"/>
      <c r="E475" s="235"/>
      <c r="F475" s="238"/>
      <c r="G475" s="239"/>
    </row>
    <row r="476" spans="1:7" ht="12.75" customHeight="1" x14ac:dyDescent="0.2">
      <c r="A476" s="164"/>
      <c r="B476" s="112"/>
      <c r="C476" s="144"/>
      <c r="D476" s="103"/>
      <c r="E476" s="235"/>
      <c r="F476" s="238"/>
      <c r="G476" s="239"/>
    </row>
    <row r="477" spans="1:7" ht="12.75" customHeight="1" x14ac:dyDescent="0.2">
      <c r="A477" s="164"/>
      <c r="B477" s="112"/>
      <c r="C477" s="144"/>
      <c r="D477" s="103"/>
      <c r="E477" s="235"/>
      <c r="F477" s="238"/>
      <c r="G477" s="239"/>
    </row>
    <row r="478" spans="1:7" ht="12.75" customHeight="1" x14ac:dyDescent="0.2">
      <c r="A478" s="164"/>
      <c r="B478" s="112"/>
      <c r="C478" s="144"/>
      <c r="D478" s="103"/>
      <c r="E478" s="235"/>
      <c r="F478" s="238"/>
      <c r="G478" s="239"/>
    </row>
    <row r="479" spans="1:7" ht="12.75" customHeight="1" x14ac:dyDescent="0.2">
      <c r="A479" s="164"/>
      <c r="B479" s="112"/>
      <c r="C479" s="144"/>
      <c r="D479" s="103"/>
      <c r="E479" s="235"/>
      <c r="F479" s="238"/>
      <c r="G479" s="239"/>
    </row>
    <row r="480" spans="1:7" ht="12.75" customHeight="1" x14ac:dyDescent="0.2">
      <c r="A480" s="164"/>
      <c r="B480" s="112"/>
      <c r="C480" s="144"/>
      <c r="D480" s="103"/>
      <c r="E480" s="235"/>
      <c r="F480" s="238"/>
      <c r="G480" s="239"/>
    </row>
    <row r="481" spans="1:7" ht="12.75" customHeight="1" x14ac:dyDescent="0.2">
      <c r="A481" s="164"/>
      <c r="B481" s="112"/>
      <c r="C481" s="144"/>
      <c r="D481" s="103"/>
      <c r="E481" s="235"/>
      <c r="F481" s="238"/>
      <c r="G481" s="239"/>
    </row>
    <row r="482" spans="1:7" ht="12.75" customHeight="1" x14ac:dyDescent="0.2">
      <c r="A482" s="164"/>
      <c r="B482" s="112"/>
      <c r="C482" s="144"/>
      <c r="D482" s="103"/>
      <c r="E482" s="235"/>
      <c r="F482" s="238"/>
      <c r="G482" s="239"/>
    </row>
    <row r="483" spans="1:7" ht="12.75" customHeight="1" x14ac:dyDescent="0.2">
      <c r="A483" s="164"/>
      <c r="B483" s="112"/>
      <c r="C483" s="144"/>
      <c r="D483" s="103"/>
      <c r="E483" s="235"/>
      <c r="F483" s="238"/>
      <c r="G483" s="239"/>
    </row>
    <row r="484" spans="1:7" ht="12.75" customHeight="1" x14ac:dyDescent="0.2">
      <c r="A484" s="164"/>
      <c r="B484" s="112"/>
      <c r="C484" s="144"/>
      <c r="D484" s="103"/>
      <c r="E484" s="235"/>
      <c r="F484" s="238"/>
      <c r="G484" s="239"/>
    </row>
    <row r="485" spans="1:7" ht="12.75" customHeight="1" x14ac:dyDescent="0.2">
      <c r="A485" s="164"/>
      <c r="B485" s="112"/>
      <c r="C485" s="144"/>
      <c r="D485" s="103"/>
      <c r="E485" s="235"/>
      <c r="F485" s="238"/>
      <c r="G485" s="239"/>
    </row>
    <row r="486" spans="1:7" ht="12.75" customHeight="1" x14ac:dyDescent="0.2">
      <c r="A486" s="164"/>
      <c r="B486" s="112"/>
      <c r="C486" s="144"/>
      <c r="D486" s="103"/>
      <c r="E486" s="235"/>
      <c r="F486" s="238"/>
      <c r="G486" s="239"/>
    </row>
    <row r="487" spans="1:7" ht="12.75" customHeight="1" x14ac:dyDescent="0.2">
      <c r="A487" s="164"/>
      <c r="B487" s="112"/>
      <c r="C487" s="144"/>
      <c r="D487" s="103"/>
      <c r="E487" s="235"/>
      <c r="F487" s="238"/>
      <c r="G487" s="239"/>
    </row>
    <row r="488" spans="1:7" ht="12.75" customHeight="1" x14ac:dyDescent="0.2">
      <c r="A488" s="164"/>
      <c r="B488" s="112"/>
      <c r="C488" s="144"/>
      <c r="D488" s="103"/>
      <c r="E488" s="235"/>
      <c r="F488" s="238"/>
      <c r="G488" s="239"/>
    </row>
    <row r="489" spans="1:7" ht="12.75" customHeight="1" x14ac:dyDescent="0.2">
      <c r="A489" s="164"/>
      <c r="B489" s="112"/>
      <c r="C489" s="144"/>
      <c r="D489" s="103"/>
      <c r="E489" s="235"/>
      <c r="F489" s="238"/>
      <c r="G489" s="239"/>
    </row>
    <row r="490" spans="1:7" ht="12.75" customHeight="1" x14ac:dyDescent="0.2">
      <c r="A490" s="164"/>
      <c r="B490" s="112"/>
      <c r="C490" s="144"/>
      <c r="D490" s="103"/>
      <c r="E490" s="235"/>
      <c r="F490" s="238"/>
      <c r="G490" s="239"/>
    </row>
    <row r="491" spans="1:7" ht="12.75" customHeight="1" x14ac:dyDescent="0.2">
      <c r="A491" s="164"/>
      <c r="B491" s="112"/>
      <c r="C491" s="144"/>
      <c r="D491" s="103"/>
      <c r="E491" s="235"/>
      <c r="F491" s="238"/>
      <c r="G491" s="239"/>
    </row>
    <row r="492" spans="1:7" ht="12.75" customHeight="1" x14ac:dyDescent="0.2">
      <c r="A492" s="164"/>
      <c r="B492" s="112"/>
      <c r="C492" s="144"/>
      <c r="D492" s="103"/>
      <c r="E492" s="235"/>
      <c r="F492" s="238"/>
      <c r="G492" s="239"/>
    </row>
    <row r="493" spans="1:7" ht="12.75" customHeight="1" x14ac:dyDescent="0.2">
      <c r="A493" s="164"/>
      <c r="B493" s="112"/>
      <c r="C493" s="144"/>
      <c r="D493" s="103"/>
      <c r="E493" s="235"/>
      <c r="F493" s="238"/>
      <c r="G493" s="239"/>
    </row>
    <row r="494" spans="1:7" ht="12.75" customHeight="1" x14ac:dyDescent="0.2">
      <c r="A494" s="164"/>
      <c r="B494" s="112"/>
      <c r="C494" s="144"/>
      <c r="D494" s="103"/>
      <c r="E494" s="235"/>
      <c r="F494" s="238"/>
      <c r="G494" s="239"/>
    </row>
    <row r="495" spans="1:7" ht="12.75" customHeight="1" x14ac:dyDescent="0.2">
      <c r="A495" s="164"/>
      <c r="B495" s="112"/>
      <c r="C495" s="144"/>
      <c r="D495" s="103"/>
      <c r="E495" s="235"/>
      <c r="F495" s="238"/>
      <c r="G495" s="239"/>
    </row>
    <row r="496" spans="1:7" ht="12.75" customHeight="1" x14ac:dyDescent="0.2">
      <c r="A496" s="164"/>
      <c r="B496" s="112"/>
      <c r="C496" s="144"/>
      <c r="D496" s="103"/>
      <c r="E496" s="235"/>
      <c r="F496" s="238"/>
      <c r="G496" s="239"/>
    </row>
    <row r="497" spans="1:7" ht="12.75" customHeight="1" x14ac:dyDescent="0.2">
      <c r="A497" s="164"/>
      <c r="B497" s="112"/>
      <c r="C497" s="144"/>
      <c r="D497" s="103"/>
      <c r="E497" s="235"/>
      <c r="F497" s="238"/>
      <c r="G497" s="239"/>
    </row>
    <row r="498" spans="1:7" ht="12.75" customHeight="1" x14ac:dyDescent="0.2">
      <c r="A498" s="164"/>
      <c r="B498" s="112"/>
      <c r="C498" s="144"/>
      <c r="D498" s="103"/>
      <c r="E498" s="235"/>
      <c r="F498" s="238"/>
      <c r="G498" s="239"/>
    </row>
    <row r="499" spans="1:7" ht="12.75" customHeight="1" x14ac:dyDescent="0.2">
      <c r="A499" s="164"/>
      <c r="B499" s="112"/>
      <c r="C499" s="144"/>
      <c r="D499" s="103"/>
      <c r="E499" s="235"/>
      <c r="F499" s="238"/>
      <c r="G499" s="239"/>
    </row>
    <row r="500" spans="1:7" ht="12.75" customHeight="1" x14ac:dyDescent="0.2">
      <c r="A500" s="164"/>
      <c r="B500" s="112"/>
      <c r="C500" s="144"/>
      <c r="D500" s="103"/>
      <c r="E500" s="235"/>
      <c r="F500" s="238"/>
      <c r="G500" s="239"/>
    </row>
    <row r="501" spans="1:7" ht="12.75" customHeight="1" x14ac:dyDescent="0.2">
      <c r="A501" s="164"/>
      <c r="B501" s="112"/>
      <c r="C501" s="144"/>
      <c r="D501" s="103"/>
      <c r="E501" s="235"/>
      <c r="F501" s="238"/>
      <c r="G501" s="239"/>
    </row>
    <row r="502" spans="1:7" ht="12.75" customHeight="1" x14ac:dyDescent="0.2">
      <c r="A502" s="164"/>
      <c r="B502" s="112"/>
      <c r="C502" s="144"/>
      <c r="D502" s="103"/>
      <c r="E502" s="235"/>
      <c r="F502" s="238"/>
      <c r="G502" s="239"/>
    </row>
    <row r="503" spans="1:7" ht="12.75" customHeight="1" x14ac:dyDescent="0.2">
      <c r="A503" s="164"/>
      <c r="B503" s="112"/>
      <c r="C503" s="144"/>
      <c r="D503" s="103"/>
      <c r="E503" s="235"/>
      <c r="F503" s="238"/>
      <c r="G503" s="239"/>
    </row>
    <row r="504" spans="1:7" ht="12.75" customHeight="1" x14ac:dyDescent="0.2">
      <c r="A504" s="164"/>
      <c r="B504" s="112"/>
      <c r="C504" s="144"/>
      <c r="D504" s="103"/>
      <c r="E504" s="235"/>
      <c r="F504" s="238"/>
      <c r="G504" s="239"/>
    </row>
    <row r="505" spans="1:7" ht="12.75" customHeight="1" x14ac:dyDescent="0.2">
      <c r="A505" s="164"/>
      <c r="B505" s="112"/>
      <c r="C505" s="144"/>
      <c r="D505" s="103"/>
      <c r="E505" s="235"/>
      <c r="F505" s="238"/>
      <c r="G505" s="239"/>
    </row>
    <row r="506" spans="1:7" ht="12.75" customHeight="1" x14ac:dyDescent="0.2">
      <c r="A506" s="164"/>
      <c r="B506" s="112"/>
      <c r="C506" s="144"/>
      <c r="D506" s="103"/>
      <c r="E506" s="235"/>
      <c r="F506" s="238"/>
      <c r="G506" s="239"/>
    </row>
    <row r="507" spans="1:7" ht="12.75" customHeight="1" thickBot="1" x14ac:dyDescent="0.25">
      <c r="A507" s="164"/>
      <c r="B507" s="112"/>
      <c r="C507" s="144"/>
      <c r="D507" s="103"/>
      <c r="E507" s="235"/>
      <c r="F507" s="238"/>
      <c r="G507" s="239"/>
    </row>
    <row r="508" spans="1:7" ht="12.75" customHeight="1" x14ac:dyDescent="0.2">
      <c r="A508" s="217"/>
      <c r="B508" s="210" t="s">
        <v>323</v>
      </c>
      <c r="C508" s="312"/>
      <c r="D508" s="318"/>
      <c r="E508" s="314"/>
      <c r="F508" s="300"/>
      <c r="G508" s="301"/>
    </row>
    <row r="509" spans="1:7" ht="12.75" customHeight="1" thickBot="1" x14ac:dyDescent="0.25">
      <c r="A509" s="218"/>
      <c r="B509" s="175" t="s">
        <v>214</v>
      </c>
      <c r="C509" s="315"/>
      <c r="D509" s="319"/>
      <c r="E509" s="317"/>
      <c r="F509" s="302"/>
      <c r="G509" s="303">
        <f>SUM(G458:G508)</f>
        <v>0</v>
      </c>
    </row>
  </sheetData>
  <mergeCells count="2">
    <mergeCell ref="A1:G1"/>
    <mergeCell ref="E2:G2"/>
  </mergeCells>
  <pageMargins left="0.59055118110236227" right="0.59055118110236227" top="0.59055118110236227" bottom="0.59055118110236227" header="0.23622047244094491" footer="0.23622047244094491"/>
  <pageSetup orientation="portrait" horizontalDpi="4294967293" verticalDpi="300" r:id="rId1"/>
  <headerFooter>
    <oddHeader>&amp;L&amp;8Sh.Lhaimagu School&amp;R&amp;8     BILL OF QUANTITIES</oddHeader>
    <oddFooter>Prepared by JP &amp;D&amp;RPage &amp;P</oddFooter>
  </headerFooter>
  <rowBreaks count="14" manualBreakCount="14">
    <brk id="51" max="19" man="1"/>
    <brk id="74" max="19" man="1"/>
    <brk id="107" max="19" man="1"/>
    <brk id="136" max="19" man="1"/>
    <brk id="179" max="19" man="1"/>
    <brk id="206" max="19" man="1"/>
    <brk id="227" max="19" man="1"/>
    <brk id="258" max="19" man="1"/>
    <brk id="301" max="19" man="1"/>
    <brk id="322" max="19" man="1"/>
    <brk id="355" max="19" man="1"/>
    <brk id="390" max="19" man="1"/>
    <brk id="416" max="19" man="1"/>
    <brk id="453"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Summary</vt:lpstr>
      <vt:lpstr>Boq</vt:lpstr>
      <vt:lpstr>Boq!Print_Area</vt:lpstr>
      <vt:lpstr>Cover!Print_Area</vt:lpstr>
      <vt:lpstr>Summary!Print_Area</vt:lpstr>
      <vt:lpstr>Boq!Print_Titles</vt:lpstr>
    </vt:vector>
  </TitlesOfParts>
  <Company>BinArch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dc:creator>
  <cp:lastModifiedBy>Dhonbe</cp:lastModifiedBy>
  <cp:lastPrinted>2020-06-25T06:04:12Z</cp:lastPrinted>
  <dcterms:created xsi:type="dcterms:W3CDTF">2011-03-24T06:48:27Z</dcterms:created>
  <dcterms:modified xsi:type="dcterms:W3CDTF">2021-01-06T11:09:23Z</dcterms:modified>
</cp:coreProperties>
</file>