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ranjie\Desktop\Long-Term NG Production Forecast Model\"/>
    </mc:Choice>
  </mc:AlternateContent>
  <xr:revisionPtr revIDLastSave="0" documentId="13_ncr:1_{61FDED5F-6FD1-4E1F-8B4C-04DDD4D95B2E}" xr6:coauthVersionLast="47" xr6:coauthVersionMax="47" xr10:uidLastSave="{00000000-0000-0000-0000-000000000000}"/>
  <bookViews>
    <workbookView xWindow="-108" yWindow="-108" windowWidth="23256" windowHeight="12576" tabRatio="784" activeTab="2" xr2:uid="{4B606542-5C5D-441E-951E-92896C46C8A8}"/>
  </bookViews>
  <sheets>
    <sheet name="NG Producer Hedges Q22023" sheetId="1" r:id="rId1"/>
    <sheet name="NG Producer Hedges Q32023" sheetId="2" r:id="rId2"/>
    <sheet name="Oil Producer Hedges Q3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E32" i="2"/>
  <c r="L32" i="2"/>
  <c r="K32" i="2"/>
  <c r="H32" i="2"/>
  <c r="G32" i="2"/>
  <c r="K32" i="1"/>
  <c r="F32" i="1" s="1"/>
  <c r="E32" i="1"/>
  <c r="G32" i="1"/>
  <c r="F27" i="3"/>
  <c r="D27" i="3" s="1"/>
  <c r="E27" i="3"/>
  <c r="C27" i="3" s="1"/>
  <c r="F12" i="2"/>
  <c r="K12" i="2"/>
  <c r="F9" i="2"/>
  <c r="L9" i="2"/>
  <c r="K9" i="2"/>
  <c r="E10" i="2"/>
  <c r="H9" i="2"/>
  <c r="E9" i="2"/>
  <c r="G9" i="2"/>
  <c r="G26" i="2"/>
  <c r="E26" i="2" s="1"/>
  <c r="E25" i="2"/>
  <c r="E24" i="2"/>
  <c r="F26" i="3"/>
  <c r="L26" i="3"/>
  <c r="K26" i="3"/>
  <c r="H26" i="3"/>
  <c r="G26" i="3"/>
  <c r="L25" i="3"/>
  <c r="K25" i="3"/>
  <c r="E25" i="3"/>
  <c r="H25" i="3"/>
  <c r="G25" i="3"/>
  <c r="D24" i="3"/>
  <c r="L24" i="3"/>
  <c r="K24" i="3"/>
  <c r="H24" i="3"/>
  <c r="G24" i="3"/>
  <c r="E26" i="3" l="1"/>
  <c r="F25" i="3"/>
  <c r="F24" i="3"/>
  <c r="E24" i="3"/>
  <c r="L23" i="3"/>
  <c r="F22" i="3"/>
  <c r="F23" i="3"/>
  <c r="K23" i="3"/>
  <c r="G23" i="3"/>
  <c r="H23" i="3"/>
  <c r="L21" i="3"/>
  <c r="F21" i="3" s="1"/>
  <c r="F20" i="3"/>
  <c r="F19" i="3"/>
  <c r="K21" i="3"/>
  <c r="E20" i="3"/>
  <c r="E22" i="3"/>
  <c r="E21" i="3"/>
  <c r="H21" i="3"/>
  <c r="G21" i="3"/>
  <c r="H19" i="3"/>
  <c r="G19" i="3"/>
  <c r="E23" i="3" l="1"/>
  <c r="G18" i="3"/>
  <c r="H18" i="3"/>
  <c r="F18" i="3"/>
  <c r="F16" i="3"/>
  <c r="L17" i="3"/>
  <c r="F17" i="3" s="1"/>
  <c r="K17" i="3"/>
  <c r="H17" i="3"/>
  <c r="E17" i="3" s="1"/>
  <c r="G17" i="3"/>
  <c r="L14" i="3"/>
  <c r="K14" i="3"/>
  <c r="H14" i="3"/>
  <c r="G14" i="3"/>
  <c r="L13" i="3"/>
  <c r="F13" i="3" s="1"/>
  <c r="G13" i="3"/>
  <c r="H13" i="3"/>
  <c r="F11" i="3"/>
  <c r="E11" i="3"/>
  <c r="F12" i="3"/>
  <c r="K12" i="3"/>
  <c r="L12" i="3"/>
  <c r="H12" i="3"/>
  <c r="E12" i="3"/>
  <c r="G12" i="3"/>
  <c r="L10" i="3"/>
  <c r="K10" i="3"/>
  <c r="F10" i="3"/>
  <c r="D10" i="3" s="1"/>
  <c r="E10" i="3"/>
  <c r="G10" i="3"/>
  <c r="H10" i="3"/>
  <c r="L9" i="3"/>
  <c r="F9" i="3" s="1"/>
  <c r="K9" i="3"/>
  <c r="H9" i="3"/>
  <c r="E9" i="3" s="1"/>
  <c r="G9" i="3"/>
  <c r="F5" i="3"/>
  <c r="L5" i="3"/>
  <c r="E5" i="3"/>
  <c r="H5" i="3"/>
  <c r="L6" i="3"/>
  <c r="K6" i="3"/>
  <c r="F6" i="3" s="1"/>
  <c r="H6" i="3"/>
  <c r="E6" i="3"/>
  <c r="G6" i="3"/>
  <c r="E13" i="3" l="1"/>
  <c r="C13" i="3" s="1"/>
  <c r="M27" i="3"/>
  <c r="I27" i="3"/>
  <c r="C26" i="3"/>
  <c r="D22" i="3"/>
  <c r="C22" i="3"/>
  <c r="D20" i="3"/>
  <c r="C20" i="3"/>
  <c r="D19" i="3"/>
  <c r="E19" i="3"/>
  <c r="C19" i="3" s="1"/>
  <c r="L18" i="3"/>
  <c r="D18" i="3" s="1"/>
  <c r="E18" i="3"/>
  <c r="C18" i="3" s="1"/>
  <c r="D17" i="3"/>
  <c r="C17" i="3"/>
  <c r="D16" i="3"/>
  <c r="E16" i="3"/>
  <c r="C16" i="3" s="1"/>
  <c r="F15" i="3"/>
  <c r="D15" i="3" s="1"/>
  <c r="E15" i="3"/>
  <c r="C15" i="3" s="1"/>
  <c r="F14" i="3"/>
  <c r="E14" i="3"/>
  <c r="B27" i="3"/>
  <c r="D13" i="3"/>
  <c r="D12" i="3"/>
  <c r="D11" i="3"/>
  <c r="C11" i="3"/>
  <c r="C9" i="3"/>
  <c r="D9" i="3"/>
  <c r="F8" i="3"/>
  <c r="D8" i="3" s="1"/>
  <c r="E8" i="3"/>
  <c r="C8" i="3" s="1"/>
  <c r="E7" i="3"/>
  <c r="C7" i="3" s="1"/>
  <c r="D5" i="3"/>
  <c r="C5" i="3"/>
  <c r="F4" i="3"/>
  <c r="D4" i="3" s="1"/>
  <c r="E4" i="3"/>
  <c r="C4" i="3" s="1"/>
  <c r="F3" i="3"/>
  <c r="D3" i="3" s="1"/>
  <c r="E3" i="3"/>
  <c r="C3" i="3" s="1"/>
  <c r="H37" i="2"/>
  <c r="E37" i="2" s="1"/>
  <c r="G37" i="2"/>
  <c r="K36" i="2"/>
  <c r="H36" i="2"/>
  <c r="E36" i="2" s="1"/>
  <c r="G36" i="2"/>
  <c r="E34" i="2"/>
  <c r="H35" i="2"/>
  <c r="E35" i="2" s="1"/>
  <c r="G35" i="2"/>
  <c r="L33" i="2"/>
  <c r="H33" i="2"/>
  <c r="E33" i="2" s="1"/>
  <c r="G33" i="2"/>
  <c r="K31" i="2"/>
  <c r="H31" i="2"/>
  <c r="E31" i="2"/>
  <c r="E29" i="2"/>
  <c r="G31" i="2"/>
  <c r="H30" i="2"/>
  <c r="E30" i="2" s="1"/>
  <c r="G30" i="2"/>
  <c r="D26" i="3" l="1"/>
  <c r="C25" i="3"/>
  <c r="D6" i="3"/>
  <c r="C12" i="3"/>
  <c r="F7" i="3"/>
  <c r="D7" i="3" s="1"/>
  <c r="C10" i="3"/>
  <c r="D25" i="3"/>
  <c r="C21" i="3"/>
  <c r="C23" i="3"/>
  <c r="C6" i="3"/>
  <c r="D21" i="3"/>
  <c r="D23" i="3"/>
  <c r="C24" i="3"/>
  <c r="K27" i="3"/>
  <c r="G27" i="3"/>
  <c r="H27" i="3"/>
  <c r="L27" i="3"/>
  <c r="D14" i="3"/>
  <c r="C14" i="3"/>
  <c r="E27" i="2" l="1"/>
  <c r="E28" i="2"/>
  <c r="H28" i="2"/>
  <c r="L26" i="2"/>
  <c r="K26" i="2"/>
  <c r="E20" i="2"/>
  <c r="E22" i="2"/>
  <c r="H26" i="2"/>
  <c r="E23" i="2"/>
  <c r="H23" i="2"/>
  <c r="L21" i="2"/>
  <c r="K21" i="2"/>
  <c r="H21" i="2"/>
  <c r="E21" i="2" s="1"/>
  <c r="G21" i="2"/>
  <c r="L19" i="2" l="1"/>
  <c r="K19" i="2"/>
  <c r="E19" i="2"/>
  <c r="H19" i="2"/>
  <c r="G19" i="2"/>
  <c r="E18" i="2"/>
  <c r="G18" i="2"/>
  <c r="B18" i="2"/>
  <c r="L17" i="2"/>
  <c r="E17" i="2"/>
  <c r="H17" i="2"/>
  <c r="K16" i="2" l="1"/>
  <c r="H16" i="2"/>
  <c r="E16" i="2"/>
  <c r="G16" i="2"/>
  <c r="K15" i="2" l="1"/>
  <c r="E14" i="2"/>
  <c r="E15" i="2"/>
  <c r="G15" i="2"/>
  <c r="K13" i="2"/>
  <c r="E13" i="2"/>
  <c r="H13" i="2"/>
  <c r="D12" i="2"/>
  <c r="L12" i="2"/>
  <c r="H12" i="2"/>
  <c r="G12" i="2"/>
  <c r="E11" i="2"/>
  <c r="E12" i="2"/>
  <c r="H11" i="2"/>
  <c r="L8" i="2" l="1"/>
  <c r="K8" i="2"/>
  <c r="H8" i="2"/>
  <c r="E8" i="2" s="1"/>
  <c r="G8" i="2"/>
  <c r="L7" i="2" l="1"/>
  <c r="E6" i="2"/>
  <c r="E7" i="2"/>
  <c r="H7" i="2"/>
  <c r="K5" i="2" l="1"/>
  <c r="E5" i="2"/>
  <c r="G5" i="2"/>
  <c r="L4" i="2"/>
  <c r="F4" i="2"/>
  <c r="D4" i="2" s="1"/>
  <c r="K4" i="2"/>
  <c r="C4" i="2" l="1"/>
  <c r="H4" i="2"/>
  <c r="E4" i="2"/>
  <c r="G4" i="2"/>
  <c r="E3" i="2" l="1"/>
  <c r="M38" i="2" l="1"/>
  <c r="I38" i="2"/>
  <c r="B38" i="2"/>
  <c r="L37" i="2"/>
  <c r="K37" i="2"/>
  <c r="F37" i="2" s="1"/>
  <c r="D37" i="2" s="1"/>
  <c r="C37" i="2"/>
  <c r="L36" i="2"/>
  <c r="F36" i="2"/>
  <c r="D36" i="2" s="1"/>
  <c r="C36" i="2"/>
  <c r="L35" i="2"/>
  <c r="K35" i="2"/>
  <c r="F35" i="2"/>
  <c r="D35" i="2" s="1"/>
  <c r="C35" i="2"/>
  <c r="F34" i="2"/>
  <c r="C34" i="2"/>
  <c r="D34" i="2"/>
  <c r="K33" i="2"/>
  <c r="F33" i="2"/>
  <c r="D33" i="2" s="1"/>
  <c r="C33" i="2"/>
  <c r="D32" i="2"/>
  <c r="C32" i="2"/>
  <c r="L31" i="2"/>
  <c r="F31" i="2"/>
  <c r="D31" i="2" s="1"/>
  <c r="C31" i="2"/>
  <c r="L30" i="2"/>
  <c r="K30" i="2"/>
  <c r="F30" i="2"/>
  <c r="D30" i="2" s="1"/>
  <c r="C30" i="2"/>
  <c r="F29" i="2"/>
  <c r="C29" i="2"/>
  <c r="D29" i="2"/>
  <c r="L28" i="2"/>
  <c r="K28" i="2"/>
  <c r="G28" i="2"/>
  <c r="F28" i="2"/>
  <c r="D28" i="2" s="1"/>
  <c r="C28" i="2"/>
  <c r="F27" i="2"/>
  <c r="C27" i="2"/>
  <c r="D27" i="2"/>
  <c r="F26" i="2"/>
  <c r="D26" i="2" s="1"/>
  <c r="C26" i="2"/>
  <c r="F25" i="2"/>
  <c r="C25" i="2"/>
  <c r="D25" i="2"/>
  <c r="L24" i="2"/>
  <c r="H24" i="2"/>
  <c r="F24" i="2"/>
  <c r="D24" i="2"/>
  <c r="C24" i="2"/>
  <c r="L23" i="2"/>
  <c r="F23" i="2"/>
  <c r="C23" i="2"/>
  <c r="D23" i="2"/>
  <c r="F22" i="2"/>
  <c r="D22" i="2"/>
  <c r="C22" i="2"/>
  <c r="F21" i="2"/>
  <c r="D21" i="2" s="1"/>
  <c r="C21" i="2"/>
  <c r="F20" i="2"/>
  <c r="D20" i="2"/>
  <c r="C20" i="2"/>
  <c r="L38" i="2"/>
  <c r="F19" i="2"/>
  <c r="D19" i="2" s="1"/>
  <c r="C19" i="2"/>
  <c r="K18" i="2"/>
  <c r="F18" i="2"/>
  <c r="C18" i="2"/>
  <c r="D18" i="2"/>
  <c r="F17" i="2"/>
  <c r="D17" i="2" s="1"/>
  <c r="C17" i="2"/>
  <c r="L16" i="2"/>
  <c r="C16" i="2"/>
  <c r="F16" i="2"/>
  <c r="D16" i="2" s="1"/>
  <c r="F15" i="2"/>
  <c r="D15" i="2" s="1"/>
  <c r="C15" i="2"/>
  <c r="F14" i="2"/>
  <c r="C14" i="2"/>
  <c r="D14" i="2"/>
  <c r="F13" i="2"/>
  <c r="D13" i="2" s="1"/>
  <c r="C13" i="2"/>
  <c r="C12" i="2"/>
  <c r="C11" i="2"/>
  <c r="F11" i="2"/>
  <c r="D11" i="2" s="1"/>
  <c r="F10" i="2"/>
  <c r="D10" i="2"/>
  <c r="C10" i="2"/>
  <c r="C9" i="2"/>
  <c r="D9" i="2"/>
  <c r="C8" i="2"/>
  <c r="F8" i="2"/>
  <c r="D8" i="2" s="1"/>
  <c r="C7" i="2"/>
  <c r="F7" i="2"/>
  <c r="D7" i="2" s="1"/>
  <c r="F6" i="2"/>
  <c r="D6" i="2"/>
  <c r="C6" i="2"/>
  <c r="K38" i="2"/>
  <c r="F5" i="2"/>
  <c r="C5" i="2"/>
  <c r="D5" i="2"/>
  <c r="H38" i="2"/>
  <c r="G38" i="2"/>
  <c r="E38" i="2" s="1"/>
  <c r="F3" i="2"/>
  <c r="D3" i="2"/>
  <c r="C3" i="2"/>
  <c r="L37" i="1"/>
  <c r="K37" i="1"/>
  <c r="H37" i="1"/>
  <c r="E37" i="1" s="1"/>
  <c r="G37" i="1"/>
  <c r="L36" i="1"/>
  <c r="K36" i="1"/>
  <c r="E36" i="1"/>
  <c r="H36" i="1"/>
  <c r="G36" i="1"/>
  <c r="L35" i="1"/>
  <c r="K35" i="1"/>
  <c r="H35" i="1"/>
  <c r="E34" i="1"/>
  <c r="E35" i="1"/>
  <c r="G35" i="1"/>
  <c r="L33" i="1"/>
  <c r="K33" i="1"/>
  <c r="H33" i="1"/>
  <c r="E33" i="1" s="1"/>
  <c r="G33" i="1"/>
  <c r="F38" i="2" l="1"/>
  <c r="D38" i="2" s="1"/>
  <c r="C38" i="2"/>
  <c r="E15" i="1"/>
  <c r="E25" i="1"/>
  <c r="E24" i="1"/>
  <c r="E22" i="1"/>
  <c r="E14" i="1"/>
  <c r="E6" i="1"/>
  <c r="E3" i="1"/>
  <c r="E27" i="1"/>
  <c r="E29" i="1"/>
  <c r="L32" i="1"/>
  <c r="C32" i="1"/>
  <c r="L31" i="1"/>
  <c r="K31" i="1"/>
  <c r="G31" i="1"/>
  <c r="H31" i="1"/>
  <c r="L30" i="1"/>
  <c r="K30" i="1"/>
  <c r="G30" i="1"/>
  <c r="E30" i="1"/>
  <c r="H30" i="1"/>
  <c r="E31" i="1" l="1"/>
  <c r="K28" i="1"/>
  <c r="L28" i="1"/>
  <c r="E28" i="1"/>
  <c r="H28" i="1"/>
  <c r="G28" i="1"/>
  <c r="L26" i="1" l="1"/>
  <c r="K26" i="1"/>
  <c r="H26" i="1"/>
  <c r="E26" i="1" s="1"/>
  <c r="G26" i="1"/>
  <c r="L24" i="1"/>
  <c r="H24" i="1"/>
  <c r="L23" i="1" l="1"/>
  <c r="E23" i="1"/>
  <c r="H23" i="1"/>
  <c r="L21" i="1" l="1"/>
  <c r="K21" i="1"/>
  <c r="H21" i="1"/>
  <c r="E20" i="1"/>
  <c r="G21" i="1"/>
  <c r="L19" i="1"/>
  <c r="K19" i="1"/>
  <c r="H19" i="1"/>
  <c r="G19" i="1"/>
  <c r="E19" i="1" s="1"/>
  <c r="E21" i="1" l="1"/>
  <c r="K18" i="1"/>
  <c r="G18" i="1"/>
  <c r="E18" i="1" s="1"/>
  <c r="L17" i="1" l="1"/>
  <c r="H17" i="1"/>
  <c r="E17" i="1" s="1"/>
  <c r="L16" i="1"/>
  <c r="K16" i="1"/>
  <c r="H16" i="1"/>
  <c r="G16" i="1"/>
  <c r="K15" i="1"/>
  <c r="G15" i="1"/>
  <c r="E16" i="1" l="1"/>
  <c r="K13" i="1"/>
  <c r="H13" i="1"/>
  <c r="E13" i="1" s="1"/>
  <c r="L12" i="1" l="1"/>
  <c r="K12" i="1"/>
  <c r="H12" i="1"/>
  <c r="G12" i="1"/>
  <c r="E10" i="1"/>
  <c r="H11" i="1"/>
  <c r="E11" i="1" s="1"/>
  <c r="C11" i="1" s="1"/>
  <c r="F11" i="1"/>
  <c r="D11" i="1" s="1"/>
  <c r="E12" i="1" l="1"/>
  <c r="L9" i="1"/>
  <c r="K9" i="1"/>
  <c r="G9" i="1"/>
  <c r="L8" i="1"/>
  <c r="F7" i="1"/>
  <c r="H8" i="1"/>
  <c r="G8" i="1"/>
  <c r="E8" i="1" s="1"/>
  <c r="H7" i="1" l="1"/>
  <c r="E7" i="1" s="1"/>
  <c r="L4" i="1" l="1"/>
  <c r="K5" i="1"/>
  <c r="F5" i="1" s="1"/>
  <c r="H4" i="1"/>
  <c r="G4" i="1"/>
  <c r="G5" i="1"/>
  <c r="E5" i="1" s="1"/>
  <c r="C5" i="1" s="1"/>
  <c r="E4" i="1" l="1"/>
  <c r="M38" i="1"/>
  <c r="I38" i="1"/>
  <c r="F37" i="1"/>
  <c r="F34" i="1"/>
  <c r="H32" i="1"/>
  <c r="F29" i="1"/>
  <c r="F28" i="1"/>
  <c r="F27" i="1"/>
  <c r="F25" i="1"/>
  <c r="F24" i="1"/>
  <c r="F23" i="1"/>
  <c r="F35" i="1"/>
  <c r="F22" i="1"/>
  <c r="F20" i="1"/>
  <c r="F18" i="1"/>
  <c r="B18" i="1"/>
  <c r="C18" i="1" s="1"/>
  <c r="F17" i="1"/>
  <c r="F15" i="1"/>
  <c r="F14" i="1"/>
  <c r="F13" i="1"/>
  <c r="C12" i="1"/>
  <c r="F10" i="1"/>
  <c r="F9" i="1"/>
  <c r="H9" i="1"/>
  <c r="E9" i="1" s="1"/>
  <c r="F8" i="1"/>
  <c r="F6" i="1"/>
  <c r="D5" i="1"/>
  <c r="C4" i="1"/>
  <c r="F3" i="1"/>
  <c r="C3" i="1"/>
  <c r="F30" i="1" l="1"/>
  <c r="F16" i="1"/>
  <c r="D16" i="1" s="1"/>
  <c r="C30" i="1"/>
  <c r="D18" i="1"/>
  <c r="C19" i="1"/>
  <c r="F31" i="1"/>
  <c r="D31" i="1" s="1"/>
  <c r="C13" i="1"/>
  <c r="D13" i="1"/>
  <c r="D32" i="1"/>
  <c r="F36" i="1"/>
  <c r="D36" i="1" s="1"/>
  <c r="D14" i="1"/>
  <c r="D9" i="1"/>
  <c r="F19" i="1"/>
  <c r="D19" i="1" s="1"/>
  <c r="C31" i="1"/>
  <c r="F33" i="1"/>
  <c r="D33" i="1" s="1"/>
  <c r="D34" i="1"/>
  <c r="C26" i="1"/>
  <c r="C28" i="1"/>
  <c r="D28" i="1"/>
  <c r="C33" i="1"/>
  <c r="C14" i="1"/>
  <c r="C16" i="1"/>
  <c r="K38" i="1"/>
  <c r="C22" i="1"/>
  <c r="C24" i="1"/>
  <c r="D6" i="1"/>
  <c r="D17" i="1"/>
  <c r="D25" i="1"/>
  <c r="H38" i="1"/>
  <c r="D22" i="1"/>
  <c r="D29" i="1"/>
  <c r="F12" i="1"/>
  <c r="D12" i="1" s="1"/>
  <c r="C20" i="1"/>
  <c r="D24" i="1"/>
  <c r="C37" i="1"/>
  <c r="C17" i="1"/>
  <c r="C15" i="1"/>
  <c r="D15" i="1"/>
  <c r="C6" i="1"/>
  <c r="D20" i="1"/>
  <c r="C27" i="1"/>
  <c r="D37" i="1"/>
  <c r="C8" i="1"/>
  <c r="C29" i="1"/>
  <c r="C9" i="1"/>
  <c r="C21" i="1"/>
  <c r="C35" i="1"/>
  <c r="D27" i="1"/>
  <c r="C36" i="1"/>
  <c r="D8" i="1"/>
  <c r="D35" i="1"/>
  <c r="G38" i="1"/>
  <c r="E38" i="1" s="1"/>
  <c r="C7" i="1"/>
  <c r="D7" i="1"/>
  <c r="D23" i="1"/>
  <c r="C10" i="1"/>
  <c r="F21" i="1"/>
  <c r="D21" i="1" s="1"/>
  <c r="F26" i="1"/>
  <c r="D26" i="1" s="1"/>
  <c r="L38" i="1"/>
  <c r="C23" i="1"/>
  <c r="C34" i="1"/>
  <c r="D30" i="1"/>
  <c r="C25" i="1"/>
  <c r="D3" i="1"/>
  <c r="D10" i="1"/>
  <c r="B38" i="1"/>
  <c r="F4" i="1"/>
  <c r="D4" i="1" s="1"/>
  <c r="F38" i="1" l="1"/>
  <c r="D38" i="1" s="1"/>
  <c r="C38" i="1"/>
</calcChain>
</file>

<file path=xl/sharedStrings.xml><?xml version="1.0" encoding="utf-8"?>
<sst xmlns="http://schemas.openxmlformats.org/spreadsheetml/2006/main" count="229" uniqueCount="127">
  <si>
    <t>NYMEX Lots 10,000 MMBtu/Contract for Swaps/Futures &amp; Collars</t>
  </si>
  <si>
    <t>Company</t>
  </si>
  <si>
    <t>% Hedged 2023</t>
  </si>
  <si>
    <t>2023 Bcf/d Hedged</t>
  </si>
  <si>
    <t>Swaps/Futures Total Contracts</t>
  </si>
  <si>
    <t>Collars Total Contracts</t>
  </si>
  <si>
    <t>Price of Swaps/Futures</t>
  </si>
  <si>
    <t>Strike Prices Collars</t>
  </si>
  <si>
    <t>Apache</t>
  </si>
  <si>
    <t>Antero Resources</t>
  </si>
  <si>
    <t>Ascent Resources (Private)</t>
  </si>
  <si>
    <t>British Petroleum</t>
  </si>
  <si>
    <t>Coterra Energy</t>
  </si>
  <si>
    <t>Callon Petroleum</t>
  </si>
  <si>
    <t>Chesapeake</t>
  </si>
  <si>
    <t>Chevron Corporation</t>
  </si>
  <si>
    <t>Civitas Resources</t>
  </si>
  <si>
    <t>Comstock Resources</t>
  </si>
  <si>
    <t>ConocoPhillips</t>
  </si>
  <si>
    <t>CNX Resources</t>
  </si>
  <si>
    <t>Devon Energy</t>
  </si>
  <si>
    <t>Diamondback Energy</t>
  </si>
  <si>
    <t>EOG Resources</t>
  </si>
  <si>
    <t>EQT</t>
  </si>
  <si>
    <t>ExxonMobil</t>
  </si>
  <si>
    <t>Gulfport Energy</t>
  </si>
  <si>
    <t>$4.78/$2.93</t>
  </si>
  <si>
    <t>Hess Energy</t>
  </si>
  <si>
    <t>Marthon Oil</t>
  </si>
  <si>
    <t>Matador Resources</t>
  </si>
  <si>
    <t>Murphy Oil</t>
  </si>
  <si>
    <t>National Fuel Gas</t>
  </si>
  <si>
    <t>Occidental Petroleum</t>
  </si>
  <si>
    <t>Ovintiv</t>
  </si>
  <si>
    <t>Pioneer Natural Resources</t>
  </si>
  <si>
    <t>Range Resources</t>
  </si>
  <si>
    <t>SM Energy</t>
  </si>
  <si>
    <t>SilverBow Resources</t>
  </si>
  <si>
    <t>Southwestern Energy</t>
  </si>
  <si>
    <t>Tellurian</t>
  </si>
  <si>
    <t>W&amp;T Offshore</t>
  </si>
  <si>
    <t>Talos Energy</t>
  </si>
  <si>
    <t>Total</t>
  </si>
  <si>
    <t>2023 Production Guidance in Bcf/d</t>
  </si>
  <si>
    <t>% Hedged 2024</t>
  </si>
  <si>
    <t>2024 Bcf/d Hedged</t>
  </si>
  <si>
    <t>Chord Energy</t>
  </si>
  <si>
    <t>$2.47/$2.47</t>
  </si>
  <si>
    <t>$2.53/$2.48</t>
  </si>
  <si>
    <t>$6.78/$3.03</t>
  </si>
  <si>
    <t>$5.37/$3.14</t>
  </si>
  <si>
    <t>$3.89/$3.00</t>
  </si>
  <si>
    <t>$5.83/$3.58</t>
  </si>
  <si>
    <t>$5.38/$3.85</t>
  </si>
  <si>
    <t>$2.98/$2.50</t>
  </si>
  <si>
    <t>$2.96/$2.34</t>
  </si>
  <si>
    <t>$3.16/$2.20</t>
  </si>
  <si>
    <t>$10.28/$3.00</t>
  </si>
  <si>
    <t>$7.62/$3.61</t>
  </si>
  <si>
    <t>$7.05/$3.78</t>
  </si>
  <si>
    <t>$9.22/$3.18</t>
  </si>
  <si>
    <t>$8.42/$3.00</t>
  </si>
  <si>
    <t>$4.85/$2.72</t>
  </si>
  <si>
    <t>$6.21/$3.93</t>
  </si>
  <si>
    <t>$5.49/$3.33</t>
  </si>
  <si>
    <t>Vital Energy</t>
  </si>
  <si>
    <t>$11.14/$4.00</t>
  </si>
  <si>
    <t>$4.13/$3.43</t>
  </si>
  <si>
    <t>$4.56/$3.22</t>
  </si>
  <si>
    <t>$3.68/$3.00</t>
  </si>
  <si>
    <t>$5.57/$3.00</t>
  </si>
  <si>
    <t>$4.28/$3.25</t>
  </si>
  <si>
    <t>$5.63/$2.50</t>
  </si>
  <si>
    <t>$5.70/$3.75</t>
  </si>
  <si>
    <t>$5.24/$3.48</t>
  </si>
  <si>
    <t>$3.21/$2.08</t>
  </si>
  <si>
    <t>$3.54/$2.80</t>
  </si>
  <si>
    <t>$8.33/$4.11</t>
  </si>
  <si>
    <t>$6.11/$3.40</t>
  </si>
  <si>
    <t>$8.46/$5.25</t>
  </si>
  <si>
    <t>$6.90/$4.00</t>
  </si>
  <si>
    <t>$6.61/$4.03</t>
  </si>
  <si>
    <t>$4.46/$2.81</t>
  </si>
  <si>
    <t>$4.85/$3.11</t>
  </si>
  <si>
    <t>$3.67/$3.00</t>
  </si>
  <si>
    <t>$5.97/$3.66</t>
  </si>
  <si>
    <t>$5.35/$3.84</t>
  </si>
  <si>
    <t>$2.96/$2.38</t>
  </si>
  <si>
    <t>$7.62/$3.67</t>
  </si>
  <si>
    <t>$7.52/$2.83</t>
  </si>
  <si>
    <t>$4.78/$3.67</t>
  </si>
  <si>
    <t>$6.16/$3.93</t>
  </si>
  <si>
    <t>$5.14/$3.36</t>
  </si>
  <si>
    <t>$4.17/$3.33</t>
  </si>
  <si>
    <t>$4.65/$3.49</t>
  </si>
  <si>
    <t>$3.98/$3.40</t>
  </si>
  <si>
    <t>$5.63/$3.50</t>
  </si>
  <si>
    <t>$5.68/$3.95</t>
  </si>
  <si>
    <t>$4.80/$3.87</t>
  </si>
  <si>
    <t>$5.83/$3.64</t>
  </si>
  <si>
    <t>$3.29/$2.08</t>
  </si>
  <si>
    <t>$3.99/$2.46</t>
  </si>
  <si>
    <t>$8.34/$4.11</t>
  </si>
  <si>
    <t>$6.22/$3.36</t>
  </si>
  <si>
    <t>2023 Production Guidance in Million Bbls/d</t>
  </si>
  <si>
    <t>2023 Million Bbls/d Hedged</t>
  </si>
  <si>
    <t>2024 Million Bbls/d Hedged</t>
  </si>
  <si>
    <t>NYMEX Lots 1,000 Bbls/Contract for Swaps/Futures &amp; Collars</t>
  </si>
  <si>
    <t>$91.09/$70.00</t>
  </si>
  <si>
    <t>$90.48/$66.25</t>
  </si>
  <si>
    <t>$87.20/$72.04</t>
  </si>
  <si>
    <t>$78.86/$58.16</t>
  </si>
  <si>
    <t>$88.93/$67.61</t>
  </si>
  <si>
    <t>$84.51/$63.66</t>
  </si>
  <si>
    <t>$82.28/$60.00</t>
  </si>
  <si>
    <t>$84.63/$65</t>
  </si>
  <si>
    <t>$94.29/$69.63</t>
  </si>
  <si>
    <t>$84.85/$65.61</t>
  </si>
  <si>
    <t>$97.59/$60.00</t>
  </si>
  <si>
    <t>$101.48/$65.63</t>
  </si>
  <si>
    <t>$87.60/$65.00</t>
  </si>
  <si>
    <t>$84.91/$63.11</t>
  </si>
  <si>
    <t>$83.56/$73.13</t>
  </si>
  <si>
    <t>$87.04/$69.60</t>
  </si>
  <si>
    <t>$87.09/$66.51</t>
  </si>
  <si>
    <t>$86.40/$67.76</t>
  </si>
  <si>
    <t>$77.17/$70.00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</si>
</sst>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0" fontId="2" fillId="4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40" fontId="2" fillId="2" borderId="1" xfId="0" applyNumberFormat="1" applyFont="1" applyFill="1" applyBorder="1" applyAlignment="1">
      <alignment horizontal="center"/>
    </xf>
    <xf numFmtId="40" fontId="2" fillId="3" borderId="1" xfId="0" applyNumberFormat="1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38" fontId="2" fillId="3" borderId="1" xfId="0" applyNumberFormat="1" applyFont="1" applyFill="1" applyBorder="1" applyAlignment="1">
      <alignment horizontal="center"/>
    </xf>
    <xf numFmtId="8" fontId="2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4026-0D12-423E-904F-2756DA9CCA8F}">
  <dimension ref="A1:O4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31.5546875" style="2" bestFit="1" customWidth="1"/>
    <col min="2" max="2" width="14.44140625" style="2" bestFit="1" customWidth="1"/>
    <col min="3" max="4" width="9" style="2" bestFit="1" customWidth="1"/>
    <col min="5" max="6" width="9.88671875" style="2" bestFit="1" customWidth="1"/>
    <col min="7" max="7" width="12.88671875" style="2" bestFit="1" customWidth="1"/>
    <col min="8" max="8" width="11.21875" style="2" bestFit="1" customWidth="1"/>
    <col min="9" max="9" width="12.88671875" style="2" bestFit="1" customWidth="1"/>
    <col min="10" max="10" width="11.88671875" style="2" bestFit="1" customWidth="1"/>
    <col min="11" max="11" width="13.6640625" style="2" bestFit="1" customWidth="1"/>
    <col min="12" max="12" width="8.88671875" style="2" bestFit="1"/>
    <col min="13" max="13" width="12.88671875" style="2" bestFit="1" customWidth="1"/>
    <col min="14" max="14" width="10.88671875" style="2" bestFit="1" customWidth="1"/>
    <col min="15" max="16384" width="8.88671875" style="2"/>
  </cols>
  <sheetData>
    <row r="1" spans="1:15" ht="43.2" x14ac:dyDescent="0.3">
      <c r="A1" s="1" t="s">
        <v>0</v>
      </c>
      <c r="G1" s="3">
        <v>2023</v>
      </c>
      <c r="H1" s="3">
        <v>2023</v>
      </c>
      <c r="I1" s="3">
        <v>2023</v>
      </c>
      <c r="J1" s="3">
        <v>2023</v>
      </c>
      <c r="K1" s="4">
        <v>2024</v>
      </c>
      <c r="L1" s="4">
        <v>2024</v>
      </c>
      <c r="M1" s="4">
        <v>2024</v>
      </c>
      <c r="N1" s="4">
        <v>2024</v>
      </c>
    </row>
    <row r="2" spans="1:15" s="1" customFormat="1" ht="43.2" x14ac:dyDescent="0.3">
      <c r="A2" s="5" t="s">
        <v>1</v>
      </c>
      <c r="B2" s="6" t="s">
        <v>43</v>
      </c>
      <c r="C2" s="7" t="s">
        <v>2</v>
      </c>
      <c r="D2" s="8" t="s">
        <v>44</v>
      </c>
      <c r="E2" s="7" t="s">
        <v>3</v>
      </c>
      <c r="F2" s="8" t="s">
        <v>45</v>
      </c>
      <c r="G2" s="7" t="s">
        <v>4</v>
      </c>
      <c r="H2" s="7" t="s">
        <v>5</v>
      </c>
      <c r="I2" s="7" t="s">
        <v>6</v>
      </c>
      <c r="J2" s="7" t="s">
        <v>7</v>
      </c>
      <c r="K2" s="8" t="s">
        <v>4</v>
      </c>
      <c r="L2" s="8" t="s">
        <v>5</v>
      </c>
      <c r="M2" s="8" t="s">
        <v>6</v>
      </c>
      <c r="N2" s="8" t="s">
        <v>7</v>
      </c>
    </row>
    <row r="3" spans="1:15" x14ac:dyDescent="0.3">
      <c r="A3" s="9" t="s">
        <v>8</v>
      </c>
      <c r="B3" s="10">
        <v>0.48499999999999999</v>
      </c>
      <c r="C3" s="11">
        <f t="shared" ref="C3" si="0">E3/B3</f>
        <v>0</v>
      </c>
      <c r="D3" s="11">
        <f>F3/B3</f>
        <v>0</v>
      </c>
      <c r="E3" s="10">
        <f>((G3+H3)/184)/100</f>
        <v>0</v>
      </c>
      <c r="F3" s="10">
        <f t="shared" ref="F3:F36" si="1">((K3+L3)/365)/100</f>
        <v>0</v>
      </c>
      <c r="G3" s="12">
        <v>0</v>
      </c>
      <c r="H3" s="12">
        <v>0</v>
      </c>
      <c r="I3" s="13"/>
      <c r="J3" s="13"/>
      <c r="K3" s="12">
        <v>0</v>
      </c>
      <c r="L3" s="12">
        <v>0</v>
      </c>
      <c r="M3" s="14"/>
      <c r="N3" s="14"/>
    </row>
    <row r="4" spans="1:15" x14ac:dyDescent="0.3">
      <c r="A4" s="9" t="s">
        <v>9</v>
      </c>
      <c r="B4" s="10">
        <v>2.1906224999999999</v>
      </c>
      <c r="C4" s="11">
        <f>E4/B4</f>
        <v>4.4736142352230931E-2</v>
      </c>
      <c r="D4" s="11">
        <f>F4/B4</f>
        <v>2.4194036170084074E-2</v>
      </c>
      <c r="E4" s="10">
        <f>((G4+H4)/184)/100</f>
        <v>9.8000000000000004E-2</v>
      </c>
      <c r="F4" s="10">
        <f t="shared" si="1"/>
        <v>5.2999999999999999E-2</v>
      </c>
      <c r="G4" s="12">
        <f>(43000*184)/10000</f>
        <v>791.2</v>
      </c>
      <c r="H4" s="12">
        <f>(55000*184)/10000</f>
        <v>1012</v>
      </c>
      <c r="I4" s="13">
        <v>2.37</v>
      </c>
      <c r="J4" s="13" t="s">
        <v>47</v>
      </c>
      <c r="K4" s="12">
        <v>0</v>
      </c>
      <c r="L4" s="12">
        <f>((53000)*365)/10000</f>
        <v>1934.5</v>
      </c>
      <c r="M4" s="13"/>
      <c r="N4" s="13" t="s">
        <v>48</v>
      </c>
    </row>
    <row r="5" spans="1:15" x14ac:dyDescent="0.3">
      <c r="A5" s="9" t="s">
        <v>10</v>
      </c>
      <c r="B5" s="10">
        <v>1.911</v>
      </c>
      <c r="C5" s="11">
        <f>E5/B5</f>
        <v>0.77603349031920466</v>
      </c>
      <c r="D5" s="11">
        <f>F5/B5</f>
        <v>0.71166928309785449</v>
      </c>
      <c r="E5" s="10">
        <f>((G5+H5))/100/184</f>
        <v>1.4830000000000001</v>
      </c>
      <c r="F5" s="10">
        <f>((K5+L5)/100)/365</f>
        <v>1.3599999999999999</v>
      </c>
      <c r="G5" s="12">
        <f>((1483000)/10000)*184</f>
        <v>27287.200000000001</v>
      </c>
      <c r="H5" s="12">
        <v>0</v>
      </c>
      <c r="I5" s="13">
        <v>3.18</v>
      </c>
      <c r="J5" s="13"/>
      <c r="K5" s="12">
        <f>((1360000)/10000)*365</f>
        <v>49640</v>
      </c>
      <c r="L5" s="12">
        <v>0</v>
      </c>
      <c r="M5" s="13">
        <v>3.49</v>
      </c>
      <c r="N5" s="13"/>
    </row>
    <row r="6" spans="1:15" x14ac:dyDescent="0.3">
      <c r="A6" s="9" t="s">
        <v>11</v>
      </c>
      <c r="B6" s="10">
        <v>1.1479999999999999</v>
      </c>
      <c r="C6" s="11">
        <f t="shared" ref="C6:C38" si="2">E6/B6</f>
        <v>0</v>
      </c>
      <c r="D6" s="11">
        <f t="shared" ref="D6:D36" si="3">F6/B6</f>
        <v>0</v>
      </c>
      <c r="E6" s="10">
        <f>((G6+H6)/184)/100</f>
        <v>0</v>
      </c>
      <c r="F6" s="10">
        <f t="shared" si="1"/>
        <v>0</v>
      </c>
      <c r="G6" s="12">
        <v>0</v>
      </c>
      <c r="H6" s="12">
        <v>0</v>
      </c>
      <c r="I6" s="13"/>
      <c r="J6" s="13"/>
      <c r="K6" s="12">
        <v>0</v>
      </c>
      <c r="L6" s="12">
        <v>0</v>
      </c>
      <c r="M6" s="13"/>
      <c r="N6" s="13"/>
    </row>
    <row r="7" spans="1:15" x14ac:dyDescent="0.3">
      <c r="A7" s="9" t="s">
        <v>12</v>
      </c>
      <c r="B7" s="10">
        <v>2.831</v>
      </c>
      <c r="C7" s="11">
        <f t="shared" si="2"/>
        <v>0.14956690676209053</v>
      </c>
      <c r="D7" s="11">
        <f t="shared" si="3"/>
        <v>0</v>
      </c>
      <c r="E7" s="10">
        <f t="shared" ref="E7:E13" si="4">((G7+H7)/184)/100</f>
        <v>0.42342391304347826</v>
      </c>
      <c r="F7" s="10">
        <f>((K7+L7)/365)/100</f>
        <v>0</v>
      </c>
      <c r="G7" s="12">
        <v>0</v>
      </c>
      <c r="H7" s="12">
        <f>(8280000+8280000+32200000+29150000)/10000</f>
        <v>7791</v>
      </c>
      <c r="I7" s="13"/>
      <c r="J7" s="13" t="s">
        <v>49</v>
      </c>
      <c r="K7" s="12">
        <v>0</v>
      </c>
      <c r="L7" s="12">
        <v>0</v>
      </c>
      <c r="M7" s="13"/>
      <c r="N7" s="13"/>
    </row>
    <row r="8" spans="1:15" x14ac:dyDescent="0.3">
      <c r="A8" s="9" t="s">
        <v>13</v>
      </c>
      <c r="B8" s="10">
        <v>0.11600000000000001</v>
      </c>
      <c r="C8" s="11">
        <f t="shared" si="2"/>
        <v>0.29204450899550222</v>
      </c>
      <c r="D8" s="11">
        <f t="shared" si="3"/>
        <v>0.20308349078885216</v>
      </c>
      <c r="E8" s="10">
        <f t="shared" si="4"/>
        <v>3.3877163043478258E-2</v>
      </c>
      <c r="F8" s="10">
        <f t="shared" si="1"/>
        <v>2.355768493150685E-2</v>
      </c>
      <c r="G8" s="12">
        <f>(1840000+620000)/10000</f>
        <v>246</v>
      </c>
      <c r="H8" s="12">
        <f>(1572296+2201102)/10000</f>
        <v>377.33980000000003</v>
      </c>
      <c r="I8" s="13">
        <v>3</v>
      </c>
      <c r="J8" s="13" t="s">
        <v>50</v>
      </c>
      <c r="K8" s="12">
        <v>0</v>
      </c>
      <c r="L8" s="12">
        <f>8598555/10000</f>
        <v>859.85550000000001</v>
      </c>
      <c r="M8" s="13"/>
      <c r="N8" s="13" t="s">
        <v>51</v>
      </c>
    </row>
    <row r="9" spans="1:15" x14ac:dyDescent="0.3">
      <c r="A9" s="9" t="s">
        <v>14</v>
      </c>
      <c r="B9" s="10">
        <v>3.4910000000000001</v>
      </c>
      <c r="C9" s="11">
        <f>E9/B9</f>
        <v>0.90283399549151222</v>
      </c>
      <c r="D9" s="11">
        <f t="shared" si="3"/>
        <v>0.43752427965453244</v>
      </c>
      <c r="E9" s="10">
        <f t="shared" si="4"/>
        <v>3.1517934782608692</v>
      </c>
      <c r="F9" s="10">
        <f t="shared" si="1"/>
        <v>1.5273972602739727</v>
      </c>
      <c r="G9" s="12">
        <f>274000000/10000</f>
        <v>27400</v>
      </c>
      <c r="H9" s="12">
        <f>(304000000+1930000)/10000</f>
        <v>30593</v>
      </c>
      <c r="I9" s="13">
        <v>3.35</v>
      </c>
      <c r="J9" s="13" t="s">
        <v>52</v>
      </c>
      <c r="K9" s="12">
        <f>227300000/10000</f>
        <v>22730</v>
      </c>
      <c r="L9" s="12">
        <f>(330200000)/10000</f>
        <v>33020</v>
      </c>
      <c r="M9" s="13">
        <v>3.43</v>
      </c>
      <c r="N9" s="13" t="s">
        <v>53</v>
      </c>
    </row>
    <row r="10" spans="1:15" x14ac:dyDescent="0.3">
      <c r="A10" s="9" t="s">
        <v>15</v>
      </c>
      <c r="B10" s="10">
        <v>1.8109999999999999</v>
      </c>
      <c r="C10" s="11">
        <f t="shared" si="2"/>
        <v>0</v>
      </c>
      <c r="D10" s="11">
        <f t="shared" si="3"/>
        <v>0</v>
      </c>
      <c r="E10" s="10">
        <f t="shared" si="4"/>
        <v>0</v>
      </c>
      <c r="F10" s="10">
        <f t="shared" si="1"/>
        <v>0</v>
      </c>
      <c r="G10" s="12">
        <v>0</v>
      </c>
      <c r="H10" s="12">
        <v>0</v>
      </c>
      <c r="I10" s="13"/>
      <c r="J10" s="13"/>
      <c r="K10" s="12">
        <v>0</v>
      </c>
      <c r="L10" s="12">
        <v>0</v>
      </c>
      <c r="M10" s="13"/>
      <c r="N10" s="13"/>
    </row>
    <row r="11" spans="1:15" x14ac:dyDescent="0.3">
      <c r="A11" s="9" t="s">
        <v>46</v>
      </c>
      <c r="B11" s="10">
        <v>0.25900000000000001</v>
      </c>
      <c r="C11" s="11">
        <f t="shared" si="2"/>
        <v>4.2471042471042476E-2</v>
      </c>
      <c r="D11" s="11">
        <f t="shared" si="3"/>
        <v>0</v>
      </c>
      <c r="E11" s="10">
        <f t="shared" si="4"/>
        <v>1.1000000000000001E-2</v>
      </c>
      <c r="F11" s="10">
        <f t="shared" si="1"/>
        <v>0</v>
      </c>
      <c r="G11" s="12">
        <v>0</v>
      </c>
      <c r="H11" s="12">
        <f>(22000*92)/10000</f>
        <v>202.4</v>
      </c>
      <c r="I11" s="13"/>
      <c r="J11" s="13" t="s">
        <v>54</v>
      </c>
      <c r="K11" s="12">
        <v>0</v>
      </c>
      <c r="L11" s="12">
        <v>0</v>
      </c>
      <c r="M11" s="13"/>
      <c r="N11" s="13"/>
    </row>
    <row r="12" spans="1:15" x14ac:dyDescent="0.3">
      <c r="A12" s="9" t="s">
        <v>16</v>
      </c>
      <c r="B12" s="10">
        <v>0.308</v>
      </c>
      <c r="C12" s="11">
        <f t="shared" si="2"/>
        <v>0.15537337662337664</v>
      </c>
      <c r="D12" s="11">
        <f t="shared" si="3"/>
        <v>8.203896103896105E-2</v>
      </c>
      <c r="E12" s="10">
        <f t="shared" si="4"/>
        <v>4.7855000000000002E-2</v>
      </c>
      <c r="F12" s="10">
        <f t="shared" si="1"/>
        <v>2.5268000000000002E-2</v>
      </c>
      <c r="G12" s="12">
        <f>(AVERAGE(46120,45947)*184)/10000</f>
        <v>847.01639999999998</v>
      </c>
      <c r="H12" s="12">
        <f>(AVERAGE(1887,1756)*184)/10000</f>
        <v>33.515599999999999</v>
      </c>
      <c r="I12" s="13">
        <v>2.61</v>
      </c>
      <c r="J12" s="13" t="s">
        <v>55</v>
      </c>
      <c r="K12" s="12">
        <f>(24234*365)/10000</f>
        <v>884.54100000000005</v>
      </c>
      <c r="L12" s="12">
        <f>(1034*365)/10000</f>
        <v>37.741</v>
      </c>
      <c r="M12" s="13">
        <v>2.71</v>
      </c>
      <c r="N12" s="13" t="s">
        <v>56</v>
      </c>
    </row>
    <row r="13" spans="1:15" x14ac:dyDescent="0.3">
      <c r="A13" s="9" t="s">
        <v>17</v>
      </c>
      <c r="B13" s="10">
        <v>1.4730000000000001</v>
      </c>
      <c r="C13" s="11">
        <f t="shared" si="2"/>
        <v>0.16972165648336726</v>
      </c>
      <c r="D13" s="11">
        <f t="shared" si="3"/>
        <v>4.4490323540626243E-2</v>
      </c>
      <c r="E13" s="10">
        <f t="shared" si="4"/>
        <v>0.25</v>
      </c>
      <c r="F13" s="10">
        <f t="shared" si="1"/>
        <v>6.5534246575342459E-2</v>
      </c>
      <c r="G13" s="12">
        <v>0</v>
      </c>
      <c r="H13" s="12">
        <f>(250*1000*184)/10000</f>
        <v>4600</v>
      </c>
      <c r="I13" s="13"/>
      <c r="J13" s="13" t="s">
        <v>57</v>
      </c>
      <c r="K13" s="12">
        <f>(130*1000*184)/10000</f>
        <v>2392</v>
      </c>
      <c r="L13" s="12">
        <v>0</v>
      </c>
      <c r="M13" s="13">
        <v>3.5</v>
      </c>
      <c r="N13" s="13"/>
    </row>
    <row r="14" spans="1:15" x14ac:dyDescent="0.3">
      <c r="A14" s="9" t="s">
        <v>18</v>
      </c>
      <c r="B14" s="10">
        <v>3.27</v>
      </c>
      <c r="C14" s="11">
        <f t="shared" si="2"/>
        <v>0</v>
      </c>
      <c r="D14" s="11">
        <f t="shared" si="3"/>
        <v>0</v>
      </c>
      <c r="E14" s="10">
        <f>((G14+H14)/184)/100</f>
        <v>0</v>
      </c>
      <c r="F14" s="10">
        <f t="shared" si="1"/>
        <v>0</v>
      </c>
      <c r="G14" s="12">
        <v>0</v>
      </c>
      <c r="H14" s="12">
        <v>0</v>
      </c>
      <c r="I14" s="13"/>
      <c r="J14" s="13"/>
      <c r="K14" s="12">
        <v>0</v>
      </c>
      <c r="L14" s="12">
        <v>0</v>
      </c>
      <c r="M14" s="13"/>
      <c r="N14" s="13"/>
    </row>
    <row r="15" spans="1:15" x14ac:dyDescent="0.3">
      <c r="A15" s="9" t="s">
        <v>19</v>
      </c>
      <c r="B15" s="10">
        <v>1.4319999999999999</v>
      </c>
      <c r="C15" s="11">
        <f t="shared" si="2"/>
        <v>0.80221167827351347</v>
      </c>
      <c r="D15" s="11">
        <f t="shared" si="3"/>
        <v>0.59564169281395885</v>
      </c>
      <c r="E15" s="10">
        <f>((G15+H15)/365)/100</f>
        <v>1.1487671232876713</v>
      </c>
      <c r="F15" s="10">
        <f t="shared" si="1"/>
        <v>0.85295890410958908</v>
      </c>
      <c r="G15" s="12">
        <f>419.3*100</f>
        <v>41930</v>
      </c>
      <c r="H15" s="12">
        <v>0</v>
      </c>
      <c r="I15" s="13">
        <v>2.81</v>
      </c>
      <c r="J15" s="13"/>
      <c r="K15" s="12">
        <f>311.33*100</f>
        <v>31133</v>
      </c>
      <c r="L15" s="12">
        <v>0</v>
      </c>
      <c r="M15" s="13">
        <v>2.85</v>
      </c>
      <c r="N15" s="13"/>
    </row>
    <row r="16" spans="1:15" x14ac:dyDescent="0.3">
      <c r="A16" s="9" t="s">
        <v>20</v>
      </c>
      <c r="B16" s="10">
        <v>1.004</v>
      </c>
      <c r="C16" s="11">
        <f t="shared" si="2"/>
        <v>0.28037848605577692</v>
      </c>
      <c r="D16" s="11">
        <f t="shared" si="3"/>
        <v>0.13939541832669322</v>
      </c>
      <c r="E16" s="10">
        <f t="shared" ref="E16:E21" si="5">((G16+H16)/184)/100</f>
        <v>0.28150000000000003</v>
      </c>
      <c r="F16" s="10">
        <f t="shared" si="1"/>
        <v>0.13995299999999999</v>
      </c>
      <c r="G16" s="12">
        <f>(110500*184)/10000</f>
        <v>2033.2</v>
      </c>
      <c r="H16" s="12">
        <f>(171000*184)/10000</f>
        <v>3146.4</v>
      </c>
      <c r="I16" s="13">
        <v>3.31</v>
      </c>
      <c r="J16" s="13" t="s">
        <v>58</v>
      </c>
      <c r="K16" s="12">
        <f>(99426*365)/10000</f>
        <v>3629.049</v>
      </c>
      <c r="L16" s="12">
        <f>(40527*365)/10000</f>
        <v>1479.2355</v>
      </c>
      <c r="M16" s="13">
        <v>3.31</v>
      </c>
      <c r="N16" s="13" t="s">
        <v>59</v>
      </c>
      <c r="O16" s="25"/>
    </row>
    <row r="17" spans="1:15" x14ac:dyDescent="0.3">
      <c r="A17" s="9" t="s">
        <v>21</v>
      </c>
      <c r="B17" s="10">
        <v>0.505</v>
      </c>
      <c r="C17" s="11">
        <f t="shared" si="2"/>
        <v>0.61386138613861385</v>
      </c>
      <c r="D17" s="11">
        <f t="shared" si="3"/>
        <v>0.39603960396039606</v>
      </c>
      <c r="E17" s="10">
        <f t="shared" si="5"/>
        <v>0.31</v>
      </c>
      <c r="F17" s="10">
        <f t="shared" si="1"/>
        <v>0.2</v>
      </c>
      <c r="G17" s="12">
        <v>0</v>
      </c>
      <c r="H17" s="12">
        <f>(310000*184)/10000</f>
        <v>5704</v>
      </c>
      <c r="I17" s="13"/>
      <c r="J17" s="13" t="s">
        <v>60</v>
      </c>
      <c r="K17" s="12">
        <v>0</v>
      </c>
      <c r="L17" s="12">
        <f>(200000*365)/10000</f>
        <v>7300</v>
      </c>
      <c r="M17" s="13"/>
      <c r="N17" s="13" t="s">
        <v>61</v>
      </c>
      <c r="O17" s="25"/>
    </row>
    <row r="18" spans="1:15" x14ac:dyDescent="0.3">
      <c r="A18" s="9" t="s">
        <v>22</v>
      </c>
      <c r="B18" s="10">
        <f>1290/1000</f>
        <v>1.29</v>
      </c>
      <c r="C18" s="11">
        <f t="shared" si="2"/>
        <v>0.23255813953488372</v>
      </c>
      <c r="D18" s="11">
        <f t="shared" si="3"/>
        <v>0.56201550387596899</v>
      </c>
      <c r="E18" s="10">
        <f t="shared" si="5"/>
        <v>0.3</v>
      </c>
      <c r="F18" s="10">
        <f t="shared" si="1"/>
        <v>0.72499999999999998</v>
      </c>
      <c r="G18" s="12">
        <f>(300000*184)/10000</f>
        <v>5520</v>
      </c>
      <c r="H18" s="12">
        <v>0</v>
      </c>
      <c r="I18" s="13">
        <v>3.36</v>
      </c>
      <c r="J18" s="13"/>
      <c r="K18" s="12">
        <f>(725000*365)/10000</f>
        <v>26462.5</v>
      </c>
      <c r="L18" s="12">
        <v>0</v>
      </c>
      <c r="M18" s="13">
        <v>3.07</v>
      </c>
      <c r="N18" s="13"/>
    </row>
    <row r="19" spans="1:15" x14ac:dyDescent="0.3">
      <c r="A19" s="9" t="s">
        <v>23</v>
      </c>
      <c r="B19" s="10">
        <v>5.048</v>
      </c>
      <c r="C19" s="11">
        <f t="shared" si="2"/>
        <v>0.81930855095431687</v>
      </c>
      <c r="D19" s="11">
        <f t="shared" si="3"/>
        <v>0.47814949091461695</v>
      </c>
      <c r="E19" s="10">
        <f t="shared" si="5"/>
        <v>4.1358695652173916</v>
      </c>
      <c r="F19" s="10">
        <f t="shared" si="1"/>
        <v>2.4136986301369863</v>
      </c>
      <c r="G19" s="12">
        <f>48000000/10000</f>
        <v>4800</v>
      </c>
      <c r="H19" s="12">
        <f>713000000/10000</f>
        <v>71300</v>
      </c>
      <c r="I19" s="13">
        <v>2.65</v>
      </c>
      <c r="J19" s="13" t="s">
        <v>62</v>
      </c>
      <c r="K19" s="12">
        <f>397000000/10000</f>
        <v>39700</v>
      </c>
      <c r="L19" s="12">
        <f>484000000/10000</f>
        <v>48400</v>
      </c>
      <c r="M19" s="13">
        <v>3.35</v>
      </c>
      <c r="N19" s="13" t="s">
        <v>63</v>
      </c>
    </row>
    <row r="20" spans="1:15" x14ac:dyDescent="0.3">
      <c r="A20" s="9" t="s">
        <v>24</v>
      </c>
      <c r="B20" s="10">
        <v>2.6040000000000001</v>
      </c>
      <c r="C20" s="11">
        <f t="shared" si="2"/>
        <v>0</v>
      </c>
      <c r="D20" s="11">
        <f t="shared" si="3"/>
        <v>0</v>
      </c>
      <c r="E20" s="10">
        <f t="shared" si="5"/>
        <v>0</v>
      </c>
      <c r="F20" s="10">
        <f t="shared" si="1"/>
        <v>0</v>
      </c>
      <c r="G20" s="12">
        <v>0</v>
      </c>
      <c r="H20" s="12">
        <v>0</v>
      </c>
      <c r="I20" s="13"/>
      <c r="J20" s="13"/>
      <c r="K20" s="12">
        <v>0</v>
      </c>
      <c r="L20" s="12">
        <v>0</v>
      </c>
      <c r="M20" s="13"/>
      <c r="N20" s="13"/>
    </row>
    <row r="21" spans="1:15" x14ac:dyDescent="0.3">
      <c r="A21" s="9" t="s">
        <v>25</v>
      </c>
      <c r="B21" s="10">
        <v>0.95</v>
      </c>
      <c r="C21" s="11">
        <f t="shared" si="2"/>
        <v>0.99263157894736842</v>
      </c>
      <c r="D21" s="11">
        <f t="shared" si="3"/>
        <v>0.72315789473684222</v>
      </c>
      <c r="E21" s="10">
        <f t="shared" si="5"/>
        <v>0.94299999999999995</v>
      </c>
      <c r="F21" s="10">
        <f t="shared" si="1"/>
        <v>0.68700000000000006</v>
      </c>
      <c r="G21" s="12">
        <f>(250000*184)/10000</f>
        <v>4600</v>
      </c>
      <c r="H21" s="12">
        <f>((285000+408000)*184)/10000</f>
        <v>12751.2</v>
      </c>
      <c r="I21" s="13">
        <v>4.12</v>
      </c>
      <c r="J21" s="13" t="s">
        <v>26</v>
      </c>
      <c r="K21" s="12">
        <f>(305000*365)/10000</f>
        <v>11132.5</v>
      </c>
      <c r="L21" s="12">
        <f>(382000*365)/10000</f>
        <v>13943</v>
      </c>
      <c r="M21" s="13">
        <v>4.08</v>
      </c>
      <c r="N21" s="13" t="s">
        <v>64</v>
      </c>
    </row>
    <row r="22" spans="1:15" x14ac:dyDescent="0.3">
      <c r="A22" s="9" t="s">
        <v>27</v>
      </c>
      <c r="B22" s="10">
        <v>0.22700000000000001</v>
      </c>
      <c r="C22" s="11">
        <f t="shared" si="2"/>
        <v>0</v>
      </c>
      <c r="D22" s="11">
        <f t="shared" si="3"/>
        <v>0</v>
      </c>
      <c r="E22" s="10">
        <f>((G22+H22)/184)/100</f>
        <v>0</v>
      </c>
      <c r="F22" s="10">
        <f t="shared" si="1"/>
        <v>0</v>
      </c>
      <c r="G22" s="12">
        <v>0</v>
      </c>
      <c r="H22" s="12">
        <v>0</v>
      </c>
      <c r="I22" s="13"/>
      <c r="J22" s="13"/>
      <c r="K22" s="12">
        <v>0</v>
      </c>
      <c r="L22" s="12">
        <v>0</v>
      </c>
      <c r="M22" s="13"/>
      <c r="N22" s="13"/>
    </row>
    <row r="23" spans="1:15" x14ac:dyDescent="0.3">
      <c r="A23" s="9" t="s">
        <v>28</v>
      </c>
      <c r="B23" s="10">
        <v>0.44</v>
      </c>
      <c r="C23" s="11">
        <f t="shared" si="2"/>
        <v>0.11363636363636365</v>
      </c>
      <c r="D23" s="11">
        <f t="shared" si="3"/>
        <v>0</v>
      </c>
      <c r="E23" s="10">
        <f>((G23+H23)/184)/100</f>
        <v>0.05</v>
      </c>
      <c r="F23" s="10">
        <f t="shared" si="1"/>
        <v>0</v>
      </c>
      <c r="G23" s="12">
        <v>0</v>
      </c>
      <c r="H23" s="12">
        <f>(50000*184)/10000</f>
        <v>920</v>
      </c>
      <c r="I23" s="13"/>
      <c r="J23" s="13" t="s">
        <v>66</v>
      </c>
      <c r="K23" s="12">
        <v>0</v>
      </c>
      <c r="L23" s="12">
        <f>(0*90)/10000</f>
        <v>0</v>
      </c>
      <c r="M23" s="13"/>
      <c r="N23" s="13"/>
    </row>
    <row r="24" spans="1:15" x14ac:dyDescent="0.3">
      <c r="A24" s="9" t="s">
        <v>29</v>
      </c>
      <c r="B24" s="10">
        <v>0.32</v>
      </c>
      <c r="C24" s="11">
        <f>E24/B24</f>
        <v>0</v>
      </c>
      <c r="D24" s="11">
        <f t="shared" si="3"/>
        <v>0</v>
      </c>
      <c r="E24" s="10">
        <f>((G24+H24)/184)/100</f>
        <v>0</v>
      </c>
      <c r="F24" s="10">
        <f t="shared" si="1"/>
        <v>0</v>
      </c>
      <c r="G24" s="12">
        <v>0</v>
      </c>
      <c r="H24" s="12">
        <f>(0*3)/10000</f>
        <v>0</v>
      </c>
      <c r="I24" s="13"/>
      <c r="J24" s="13"/>
      <c r="K24" s="12">
        <v>0</v>
      </c>
      <c r="L24" s="12">
        <f>(0*1)/10000</f>
        <v>0</v>
      </c>
      <c r="M24" s="13"/>
      <c r="N24" s="13"/>
    </row>
    <row r="25" spans="1:15" x14ac:dyDescent="0.3">
      <c r="A25" s="9" t="s">
        <v>30</v>
      </c>
      <c r="B25" s="10">
        <v>0.104</v>
      </c>
      <c r="C25" s="11">
        <f t="shared" si="2"/>
        <v>0</v>
      </c>
      <c r="D25" s="11">
        <f t="shared" si="3"/>
        <v>0</v>
      </c>
      <c r="E25" s="10">
        <f>((G25+H25)/184)/100</f>
        <v>0</v>
      </c>
      <c r="F25" s="10">
        <f t="shared" si="1"/>
        <v>0</v>
      </c>
      <c r="G25" s="12">
        <v>0</v>
      </c>
      <c r="H25" s="12">
        <v>0</v>
      </c>
      <c r="I25" s="13"/>
      <c r="J25" s="13"/>
      <c r="K25" s="12">
        <v>0</v>
      </c>
      <c r="L25" s="12">
        <v>0</v>
      </c>
      <c r="M25" s="13"/>
      <c r="N25" s="13"/>
    </row>
    <row r="26" spans="1:15" x14ac:dyDescent="0.3">
      <c r="A26" s="9" t="s">
        <v>31</v>
      </c>
      <c r="B26" s="10">
        <v>1.028</v>
      </c>
      <c r="C26" s="11">
        <f t="shared" si="2"/>
        <v>0.60015225850109966</v>
      </c>
      <c r="D26" s="11">
        <f t="shared" si="3"/>
        <v>0.53358029955759279</v>
      </c>
      <c r="E26" s="10">
        <f>((G26+H26)/92)/100</f>
        <v>0.61695652173913051</v>
      </c>
      <c r="F26" s="10">
        <f t="shared" si="1"/>
        <v>0.54852054794520544</v>
      </c>
      <c r="G26" s="12">
        <f>(32820000)/10000</f>
        <v>3282</v>
      </c>
      <c r="H26" s="12">
        <f>(23940000)/10000</f>
        <v>2394</v>
      </c>
      <c r="I26" s="13">
        <v>2.88</v>
      </c>
      <c r="J26" s="13" t="s">
        <v>67</v>
      </c>
      <c r="K26" s="12">
        <f>(134930000)/10000</f>
        <v>13493</v>
      </c>
      <c r="L26" s="12">
        <f>(65280000)/10000</f>
        <v>6528</v>
      </c>
      <c r="M26" s="13">
        <v>3.33</v>
      </c>
      <c r="N26" s="13" t="s">
        <v>68</v>
      </c>
    </row>
    <row r="27" spans="1:15" x14ac:dyDescent="0.3">
      <c r="A27" s="9" t="s">
        <v>32</v>
      </c>
      <c r="B27" s="10">
        <v>1.3</v>
      </c>
      <c r="C27" s="11">
        <f t="shared" si="2"/>
        <v>0</v>
      </c>
      <c r="D27" s="11">
        <f t="shared" si="3"/>
        <v>0</v>
      </c>
      <c r="E27" s="10">
        <f>((G27+H27)/184)/100</f>
        <v>0</v>
      </c>
      <c r="F27" s="10">
        <f t="shared" si="1"/>
        <v>0</v>
      </c>
      <c r="G27" s="12">
        <v>0</v>
      </c>
      <c r="H27" s="12">
        <v>0</v>
      </c>
      <c r="I27" s="13"/>
      <c r="J27" s="13"/>
      <c r="K27" s="12">
        <v>0</v>
      </c>
      <c r="L27" s="12">
        <v>0</v>
      </c>
      <c r="M27" s="13"/>
      <c r="N27" s="13"/>
    </row>
    <row r="28" spans="1:15" x14ac:dyDescent="0.3">
      <c r="A28" s="9" t="s">
        <v>33</v>
      </c>
      <c r="B28" s="10">
        <v>1.6</v>
      </c>
      <c r="C28" s="11">
        <f t="shared" si="2"/>
        <v>0.37187499999999996</v>
      </c>
      <c r="D28" s="11">
        <f t="shared" si="3"/>
        <v>0.46875</v>
      </c>
      <c r="E28" s="10">
        <f>((G28+H28)/184)/100</f>
        <v>0.59499999999999997</v>
      </c>
      <c r="F28" s="10">
        <f t="shared" si="1"/>
        <v>0.75</v>
      </c>
      <c r="G28" s="12">
        <f>(0/10)*275</f>
        <v>0</v>
      </c>
      <c r="H28" s="12">
        <f>(595/10)*184</f>
        <v>10948</v>
      </c>
      <c r="I28" s="13"/>
      <c r="J28" s="13" t="s">
        <v>69</v>
      </c>
      <c r="K28" s="12">
        <f>(200/10)*365</f>
        <v>7300</v>
      </c>
      <c r="L28" s="12">
        <f>(550/10)*365</f>
        <v>20075</v>
      </c>
      <c r="M28" s="13">
        <v>3.62</v>
      </c>
      <c r="N28" s="13" t="s">
        <v>70</v>
      </c>
    </row>
    <row r="29" spans="1:15" x14ac:dyDescent="0.3">
      <c r="A29" s="9" t="s">
        <v>34</v>
      </c>
      <c r="B29" s="10">
        <v>0.88200000000000001</v>
      </c>
      <c r="C29" s="11">
        <f t="shared" si="2"/>
        <v>0</v>
      </c>
      <c r="D29" s="11">
        <f t="shared" si="3"/>
        <v>0</v>
      </c>
      <c r="E29" s="10">
        <f>((G29+H29)/184)/100</f>
        <v>0</v>
      </c>
      <c r="F29" s="10">
        <f t="shared" si="1"/>
        <v>0</v>
      </c>
      <c r="G29" s="12">
        <v>0</v>
      </c>
      <c r="H29" s="12">
        <v>0</v>
      </c>
      <c r="I29" s="13"/>
      <c r="J29" s="13"/>
      <c r="K29" s="12">
        <v>0</v>
      </c>
      <c r="L29" s="12">
        <v>0</v>
      </c>
      <c r="M29" s="13"/>
      <c r="N29" s="13"/>
    </row>
    <row r="30" spans="1:15" x14ac:dyDescent="0.3">
      <c r="A30" s="9" t="s">
        <v>35</v>
      </c>
      <c r="B30" s="10">
        <v>1.4930000000000001</v>
      </c>
      <c r="C30" s="11">
        <f t="shared" si="2"/>
        <v>0.52132819825853982</v>
      </c>
      <c r="D30" s="11">
        <f t="shared" si="3"/>
        <v>0.53025251172136623</v>
      </c>
      <c r="E30" s="10">
        <f>((G30+H30)/184)/100</f>
        <v>0.77834300000000001</v>
      </c>
      <c r="F30" s="10">
        <f t="shared" si="1"/>
        <v>0.7916669999999999</v>
      </c>
      <c r="G30" s="12">
        <f>(381658*184)/10000</f>
        <v>7022.5072</v>
      </c>
      <c r="H30" s="12">
        <f>((256685+140000)*184)/10000</f>
        <v>7299.0039999999999</v>
      </c>
      <c r="I30" s="13">
        <v>3.52</v>
      </c>
      <c r="J30" s="13" t="s">
        <v>71</v>
      </c>
      <c r="K30" s="12">
        <f>(304973*365)/10000</f>
        <v>11131.514499999999</v>
      </c>
      <c r="L30" s="12">
        <f>((436694+50000)*365)/10000</f>
        <v>17764.330999999998</v>
      </c>
      <c r="M30" s="13">
        <v>4.01</v>
      </c>
      <c r="N30" s="13" t="s">
        <v>72</v>
      </c>
    </row>
    <row r="31" spans="1:15" x14ac:dyDescent="0.3">
      <c r="A31" s="9" t="s">
        <v>36</v>
      </c>
      <c r="B31" s="10">
        <v>0.35399999999999998</v>
      </c>
      <c r="C31" s="11">
        <f t="shared" si="2"/>
        <v>0.28964013755833951</v>
      </c>
      <c r="D31" s="11">
        <f t="shared" si="3"/>
        <v>0.19426514975621081</v>
      </c>
      <c r="E31" s="10">
        <f>((G31+H31)/184)/100</f>
        <v>0.10253260869565217</v>
      </c>
      <c r="F31" s="10">
        <f t="shared" si="1"/>
        <v>6.8769863013698626E-2</v>
      </c>
      <c r="G31" s="12">
        <f>1470000/10000</f>
        <v>147</v>
      </c>
      <c r="H31" s="12">
        <f>17396000/10000</f>
        <v>1739.6</v>
      </c>
      <c r="I31" s="13">
        <v>5.1100000000000003</v>
      </c>
      <c r="J31" s="13" t="s">
        <v>73</v>
      </c>
      <c r="K31" s="12">
        <f>2759000/10000</f>
        <v>275.89999999999998</v>
      </c>
      <c r="L31" s="12">
        <f>22342000/10000</f>
        <v>2234.1999999999998</v>
      </c>
      <c r="M31" s="13">
        <v>3.27</v>
      </c>
      <c r="N31" s="13" t="s">
        <v>74</v>
      </c>
    </row>
    <row r="32" spans="1:15" x14ac:dyDescent="0.3">
      <c r="A32" s="9" t="s">
        <v>37</v>
      </c>
      <c r="B32" s="10">
        <v>0.2</v>
      </c>
      <c r="C32" s="11">
        <f>E32/B32</f>
        <v>0.90999999999999992</v>
      </c>
      <c r="D32" s="11">
        <f t="shared" si="3"/>
        <v>0.66500000000000004</v>
      </c>
      <c r="E32" s="10">
        <f>((G32+H32)/184)/100</f>
        <v>0.182</v>
      </c>
      <c r="F32" s="10">
        <f>((K32+L32)/365)/100</f>
        <v>0.13300000000000001</v>
      </c>
      <c r="G32" s="12">
        <f>0.182*184*100</f>
        <v>3348.8</v>
      </c>
      <c r="H32" s="12">
        <f>0</f>
        <v>0</v>
      </c>
      <c r="I32" s="13">
        <v>3.9</v>
      </c>
      <c r="J32" s="13"/>
      <c r="K32" s="12">
        <f>0.133*365*100</f>
        <v>4854.5</v>
      </c>
      <c r="L32" s="12">
        <f>0*365</f>
        <v>0</v>
      </c>
      <c r="M32" s="13">
        <v>5.33</v>
      </c>
      <c r="N32" s="13"/>
    </row>
    <row r="33" spans="1:14" x14ac:dyDescent="0.3">
      <c r="A33" s="9" t="s">
        <v>38</v>
      </c>
      <c r="B33" s="10">
        <v>4.0140000000000002</v>
      </c>
      <c r="C33" s="11">
        <f t="shared" si="2"/>
        <v>0.70541149455167784</v>
      </c>
      <c r="D33" s="11">
        <f t="shared" si="3"/>
        <v>0.39792234030209334</v>
      </c>
      <c r="E33" s="10">
        <f>((G33+H33)/184)/100</f>
        <v>2.831521739130435</v>
      </c>
      <c r="F33" s="10">
        <f t="shared" si="1"/>
        <v>1.5972602739726027</v>
      </c>
      <c r="G33" s="12">
        <f>348*100</f>
        <v>34800</v>
      </c>
      <c r="H33" s="12">
        <f>(78+95)*100</f>
        <v>17300</v>
      </c>
      <c r="I33" s="13">
        <v>3.25</v>
      </c>
      <c r="J33" s="13" t="s">
        <v>75</v>
      </c>
      <c r="K33" s="12">
        <f>528*100</f>
        <v>52800</v>
      </c>
      <c r="L33" s="12">
        <f>(44+11)*100</f>
        <v>5500</v>
      </c>
      <c r="M33" s="13">
        <v>3.54</v>
      </c>
      <c r="N33" s="13" t="s">
        <v>76</v>
      </c>
    </row>
    <row r="34" spans="1:14" x14ac:dyDescent="0.3">
      <c r="A34" s="9" t="s">
        <v>39</v>
      </c>
      <c r="B34" s="10">
        <v>0.185</v>
      </c>
      <c r="C34" s="11">
        <f t="shared" si="2"/>
        <v>0</v>
      </c>
      <c r="D34" s="11">
        <f t="shared" si="3"/>
        <v>0</v>
      </c>
      <c r="E34" s="10">
        <f>((G34+H34)/184)/100</f>
        <v>0</v>
      </c>
      <c r="F34" s="10">
        <f t="shared" si="1"/>
        <v>0</v>
      </c>
      <c r="G34" s="12">
        <v>0</v>
      </c>
      <c r="H34" s="12">
        <v>0</v>
      </c>
      <c r="I34" s="13"/>
      <c r="J34" s="13"/>
      <c r="K34" s="12">
        <v>0</v>
      </c>
      <c r="L34" s="12">
        <v>0</v>
      </c>
      <c r="M34" s="13"/>
      <c r="N34" s="13"/>
    </row>
    <row r="35" spans="1:14" x14ac:dyDescent="0.3">
      <c r="A35" s="9" t="s">
        <v>65</v>
      </c>
      <c r="B35" s="10">
        <v>0.151</v>
      </c>
      <c r="C35" s="11">
        <f>E35/B35</f>
        <v>0.49785873164411171</v>
      </c>
      <c r="D35" s="11">
        <f>F35/B35</f>
        <v>0.48719934682028487</v>
      </c>
      <c r="E35" s="10">
        <f>((G35+H35)/184)/100</f>
        <v>7.5176668478260864E-2</v>
      </c>
      <c r="F35" s="10">
        <f>((K35+L35)/365)/100</f>
        <v>7.3567101369863011E-2</v>
      </c>
      <c r="G35" s="12">
        <f>(78100)/10000</f>
        <v>7.81</v>
      </c>
      <c r="H35" s="12">
        <f>(13685407+69000)/10000</f>
        <v>1375.4407000000001</v>
      </c>
      <c r="I35" s="13">
        <v>2.46</v>
      </c>
      <c r="J35" s="13" t="s">
        <v>77</v>
      </c>
      <c r="K35" s="12">
        <f>(26075700)/10000</f>
        <v>2607.5700000000002</v>
      </c>
      <c r="L35" s="12">
        <f>(776292)/10000</f>
        <v>77.629199999999997</v>
      </c>
      <c r="M35" s="13">
        <v>3.47</v>
      </c>
      <c r="N35" s="13" t="s">
        <v>78</v>
      </c>
    </row>
    <row r="36" spans="1:14" x14ac:dyDescent="0.3">
      <c r="A36" s="9" t="s">
        <v>40</v>
      </c>
      <c r="B36" s="10">
        <v>0.11899999999999999</v>
      </c>
      <c r="C36" s="11">
        <f t="shared" si="2"/>
        <v>0.60043697478991609</v>
      </c>
      <c r="D36" s="11">
        <f t="shared" si="3"/>
        <v>1.0972605042016808</v>
      </c>
      <c r="E36" s="10">
        <f>((G36+H36)/184)/100</f>
        <v>7.1452000000000016E-2</v>
      </c>
      <c r="F36" s="10">
        <f t="shared" si="1"/>
        <v>0.130574</v>
      </c>
      <c r="G36" s="12">
        <f>((36164)*184)/10000</f>
        <v>665.41759999999999</v>
      </c>
      <c r="H36" s="12">
        <f>(35288*184)/10000</f>
        <v>649.29920000000004</v>
      </c>
      <c r="I36" s="13">
        <v>2.4300000000000002</v>
      </c>
      <c r="J36" s="13">
        <v>7.5</v>
      </c>
      <c r="K36" s="12">
        <f>((65574)*365)/10000</f>
        <v>2393.451</v>
      </c>
      <c r="L36" s="12">
        <f>((65000)*365)/10000</f>
        <v>2372.5</v>
      </c>
      <c r="M36" s="13">
        <v>2.46</v>
      </c>
      <c r="N36" s="13">
        <v>6.13</v>
      </c>
    </row>
    <row r="37" spans="1:14" x14ac:dyDescent="0.3">
      <c r="A37" s="9" t="s">
        <v>41</v>
      </c>
      <c r="B37" s="10">
        <v>8.3000000000000004E-2</v>
      </c>
      <c r="C37" s="11">
        <f t="shared" si="2"/>
        <v>0.36144578313253006</v>
      </c>
      <c r="D37" s="11">
        <f>F37/B37</f>
        <v>0.33132530120481929</v>
      </c>
      <c r="E37" s="10">
        <f>((G37+H37)/184)/100</f>
        <v>0.03</v>
      </c>
      <c r="F37" s="10">
        <f>((K37+L37)/365)/100</f>
        <v>2.75E-2</v>
      </c>
      <c r="G37" s="12">
        <f>(20000*184)/10000</f>
        <v>368</v>
      </c>
      <c r="H37" s="12">
        <f>(10000*184)/10000</f>
        <v>184</v>
      </c>
      <c r="I37" s="13">
        <v>3.78</v>
      </c>
      <c r="J37" s="13" t="s">
        <v>79</v>
      </c>
      <c r="K37" s="12">
        <f>(17500*365)/10000</f>
        <v>638.75</v>
      </c>
      <c r="L37" s="12">
        <f>(10000*365)/10000</f>
        <v>365</v>
      </c>
      <c r="M37" s="13">
        <v>3.46</v>
      </c>
      <c r="N37" s="13" t="s">
        <v>80</v>
      </c>
    </row>
    <row r="38" spans="1:14" x14ac:dyDescent="0.3">
      <c r="A38" s="15" t="s">
        <v>42</v>
      </c>
      <c r="B38" s="16">
        <f>SUM(B3:B37)</f>
        <v>44.626622499999996</v>
      </c>
      <c r="C38" s="17">
        <f t="shared" si="2"/>
        <v>0.42065983695192738</v>
      </c>
      <c r="D38" s="18">
        <f>F38/B38</f>
        <v>0.27325004289376298</v>
      </c>
      <c r="E38" s="19">
        <f>((G38+H38)/184)/100</f>
        <v>18.772627744565213</v>
      </c>
      <c r="F38" s="20">
        <f>((K38+L38)/365)/100</f>
        <v>12.194226512328767</v>
      </c>
      <c r="G38" s="21">
        <f>SUM(G3:G37)</f>
        <v>165096.15119999996</v>
      </c>
      <c r="H38" s="21">
        <f>SUM(H3:H37)</f>
        <v>180320.19930000001</v>
      </c>
      <c r="I38" s="22">
        <f>AVERAGE(I3:I37)</f>
        <v>3.2272222222222222</v>
      </c>
      <c r="J38" s="22"/>
      <c r="K38" s="23">
        <f>SUM(K3:K37)</f>
        <v>283198.27549999999</v>
      </c>
      <c r="L38" s="23">
        <f>SUM(L3:L37)</f>
        <v>161890.99220000001</v>
      </c>
      <c r="M38" s="24">
        <f>AVERAGE(M3:M37)</f>
        <v>3.4599999999999995</v>
      </c>
      <c r="N38" s="24"/>
    </row>
    <row r="42" spans="1:14" x14ac:dyDescent="0.3">
      <c r="G42" s="26"/>
    </row>
    <row r="43" spans="1:14" x14ac:dyDescent="0.3">
      <c r="G43" s="26"/>
    </row>
  </sheetData>
  <pageMargins left="0.7" right="0.7" top="0.75" bottom="0.75" header="0.3" footer="0.3"/>
  <ignoredErrors>
    <ignoredError sqref="E5:F5 E7 E15 E26 E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95BF-876C-4AC5-9829-96BE27CCB5E9}">
  <dimension ref="A1:O4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31.5546875" style="2" bestFit="1" customWidth="1"/>
    <col min="2" max="2" width="14.44140625" style="2" bestFit="1" customWidth="1"/>
    <col min="3" max="4" width="9" style="2" bestFit="1" customWidth="1"/>
    <col min="5" max="6" width="9.88671875" style="2" bestFit="1" customWidth="1"/>
    <col min="7" max="7" width="12.88671875" style="2" bestFit="1" customWidth="1"/>
    <col min="8" max="8" width="11.21875" style="2" bestFit="1" customWidth="1"/>
    <col min="9" max="9" width="12.88671875" style="2" bestFit="1" customWidth="1"/>
    <col min="10" max="10" width="11.88671875" style="2" bestFit="1" customWidth="1"/>
    <col min="11" max="11" width="13.6640625" style="2" bestFit="1" customWidth="1"/>
    <col min="12" max="12" width="8.88671875" style="2"/>
    <col min="13" max="13" width="12.88671875" style="2" bestFit="1" customWidth="1"/>
    <col min="14" max="14" width="10.88671875" style="2" bestFit="1" customWidth="1"/>
    <col min="15" max="16384" width="8.88671875" style="2"/>
  </cols>
  <sheetData>
    <row r="1" spans="1:15" ht="43.2" x14ac:dyDescent="0.3">
      <c r="A1" s="1" t="s">
        <v>0</v>
      </c>
      <c r="G1" s="3">
        <v>2023</v>
      </c>
      <c r="H1" s="3">
        <v>2023</v>
      </c>
      <c r="I1" s="3">
        <v>2023</v>
      </c>
      <c r="J1" s="3">
        <v>2023</v>
      </c>
      <c r="K1" s="4">
        <v>2024</v>
      </c>
      <c r="L1" s="4">
        <v>2024</v>
      </c>
      <c r="M1" s="4">
        <v>2024</v>
      </c>
      <c r="N1" s="4">
        <v>2024</v>
      </c>
    </row>
    <row r="2" spans="1:15" s="1" customFormat="1" ht="43.2" x14ac:dyDescent="0.3">
      <c r="A2" s="5" t="s">
        <v>1</v>
      </c>
      <c r="B2" s="6" t="s">
        <v>43</v>
      </c>
      <c r="C2" s="7" t="s">
        <v>2</v>
      </c>
      <c r="D2" s="8" t="s">
        <v>44</v>
      </c>
      <c r="E2" s="7" t="s">
        <v>3</v>
      </c>
      <c r="F2" s="8" t="s">
        <v>45</v>
      </c>
      <c r="G2" s="7" t="s">
        <v>4</v>
      </c>
      <c r="H2" s="7" t="s">
        <v>5</v>
      </c>
      <c r="I2" s="7" t="s">
        <v>6</v>
      </c>
      <c r="J2" s="7" t="s">
        <v>7</v>
      </c>
      <c r="K2" s="8" t="s">
        <v>4</v>
      </c>
      <c r="L2" s="8" t="s">
        <v>5</v>
      </c>
      <c r="M2" s="8" t="s">
        <v>6</v>
      </c>
      <c r="N2" s="8" t="s">
        <v>7</v>
      </c>
    </row>
    <row r="3" spans="1:15" x14ac:dyDescent="0.3">
      <c r="A3" s="9" t="s">
        <v>8</v>
      </c>
      <c r="B3" s="10">
        <v>0.48</v>
      </c>
      <c r="C3" s="11">
        <f t="shared" ref="C3" si="0">E3/B3</f>
        <v>0</v>
      </c>
      <c r="D3" s="11">
        <f>F3/B3</f>
        <v>0</v>
      </c>
      <c r="E3" s="10">
        <f>((G3+H3)/92)/100</f>
        <v>0</v>
      </c>
      <c r="F3" s="10">
        <f t="shared" ref="F3:F36" si="1">((K3+L3)/365)/100</f>
        <v>0</v>
      </c>
      <c r="G3" s="12">
        <v>0</v>
      </c>
      <c r="H3" s="12">
        <v>0</v>
      </c>
      <c r="I3" s="13"/>
      <c r="J3" s="13"/>
      <c r="K3" s="12">
        <v>0</v>
      </c>
      <c r="L3" s="12">
        <v>0</v>
      </c>
      <c r="M3" s="14"/>
      <c r="N3" s="14"/>
    </row>
    <row r="4" spans="1:15" x14ac:dyDescent="0.3">
      <c r="A4" s="9" t="s">
        <v>9</v>
      </c>
      <c r="B4" s="10">
        <v>2.2130000000000001</v>
      </c>
      <c r="C4" s="11">
        <f>E4/B4</f>
        <v>1.4173520108450067E-2</v>
      </c>
      <c r="D4" s="11">
        <f>F4/B4</f>
        <v>1.0793041120650699E-2</v>
      </c>
      <c r="E4" s="10">
        <f>((G4+H4)/92)/100</f>
        <v>3.1365999999999998E-2</v>
      </c>
      <c r="F4" s="10">
        <f>((K4+L4)/365)/100</f>
        <v>2.3885E-2</v>
      </c>
      <c r="G4" s="12">
        <f>(31366*92)/10000</f>
        <v>288.56720000000001</v>
      </c>
      <c r="H4" s="12">
        <f>(0*92)/10000</f>
        <v>0</v>
      </c>
      <c r="I4" s="13">
        <v>2.35</v>
      </c>
      <c r="J4" s="13"/>
      <c r="K4" s="12">
        <f>(23885*365)/10000</f>
        <v>871.80250000000001</v>
      </c>
      <c r="L4" s="12">
        <f>((0)*365)/10000</f>
        <v>0</v>
      </c>
      <c r="M4" s="13">
        <v>2.33</v>
      </c>
      <c r="N4" s="13"/>
    </row>
    <row r="5" spans="1:15" x14ac:dyDescent="0.3">
      <c r="A5" s="9" t="s">
        <v>10</v>
      </c>
      <c r="B5" s="10">
        <v>1.9750000000000001</v>
      </c>
      <c r="C5" s="11">
        <f>E5/B5</f>
        <v>0.74531645569620253</v>
      </c>
      <c r="D5" s="11">
        <f>F5/B5</f>
        <v>0.71392405063291131</v>
      </c>
      <c r="E5" s="10">
        <f>((G5+H5))/100/92</f>
        <v>1.472</v>
      </c>
      <c r="F5" s="10">
        <f>((K5+L5)/100)/365</f>
        <v>1.41</v>
      </c>
      <c r="G5" s="12">
        <f>((1472000)/10000)*92</f>
        <v>13542.4</v>
      </c>
      <c r="H5" s="12">
        <v>0</v>
      </c>
      <c r="I5" s="13">
        <v>3.19</v>
      </c>
      <c r="J5" s="13"/>
      <c r="K5" s="12">
        <f>((1410000)/10000)*365</f>
        <v>51465</v>
      </c>
      <c r="L5" s="12">
        <v>0</v>
      </c>
      <c r="M5" s="13">
        <v>3.55</v>
      </c>
      <c r="N5" s="13"/>
    </row>
    <row r="6" spans="1:15" x14ac:dyDescent="0.3">
      <c r="A6" s="9" t="s">
        <v>11</v>
      </c>
      <c r="B6" s="10">
        <v>1.159</v>
      </c>
      <c r="C6" s="11">
        <f t="shared" ref="C6:C38" si="2">E6/B6</f>
        <v>0</v>
      </c>
      <c r="D6" s="11">
        <f t="shared" ref="D6:D36" si="3">F6/B6</f>
        <v>0</v>
      </c>
      <c r="E6" s="10">
        <f>((G6+H6)/92)/100</f>
        <v>0</v>
      </c>
      <c r="F6" s="10">
        <f t="shared" si="1"/>
        <v>0</v>
      </c>
      <c r="G6" s="12">
        <v>0</v>
      </c>
      <c r="H6" s="12">
        <v>0</v>
      </c>
      <c r="I6" s="13"/>
      <c r="J6" s="13"/>
      <c r="K6" s="12">
        <v>0</v>
      </c>
      <c r="L6" s="12">
        <v>0</v>
      </c>
      <c r="M6" s="13"/>
      <c r="N6" s="13"/>
    </row>
    <row r="7" spans="1:15" x14ac:dyDescent="0.3">
      <c r="A7" s="9" t="s">
        <v>12</v>
      </c>
      <c r="B7" s="10">
        <v>2.859</v>
      </c>
      <c r="C7" s="11">
        <f t="shared" si="2"/>
        <v>0.11082470307343704</v>
      </c>
      <c r="D7" s="11">
        <f t="shared" si="3"/>
        <v>6.2556598484957385E-2</v>
      </c>
      <c r="E7" s="10">
        <f>((G7+H7)/92)/100</f>
        <v>0.3168478260869565</v>
      </c>
      <c r="F7" s="10">
        <f>((K7+L7)/365)/100</f>
        <v>0.17884931506849316</v>
      </c>
      <c r="G7" s="12">
        <v>0</v>
      </c>
      <c r="H7" s="12">
        <f>(29150000)/10000</f>
        <v>2915</v>
      </c>
      <c r="I7" s="13"/>
      <c r="J7" s="13" t="s">
        <v>81</v>
      </c>
      <c r="K7" s="12">
        <v>0</v>
      </c>
      <c r="L7" s="12">
        <f>(65280000)/10000</f>
        <v>6528</v>
      </c>
      <c r="M7" s="13"/>
      <c r="N7" s="13" t="s">
        <v>82</v>
      </c>
    </row>
    <row r="8" spans="1:15" x14ac:dyDescent="0.3">
      <c r="A8" s="9" t="s">
        <v>13</v>
      </c>
      <c r="B8" s="10">
        <v>0.11700000000000001</v>
      </c>
      <c r="C8" s="11">
        <f t="shared" si="2"/>
        <v>0.26208695652173913</v>
      </c>
      <c r="D8" s="11">
        <f t="shared" si="3"/>
        <v>0.22868022479803299</v>
      </c>
      <c r="E8" s="10">
        <f>((G8+H8)/92)/100</f>
        <v>3.0664173913043481E-2</v>
      </c>
      <c r="F8" s="10">
        <f t="shared" si="1"/>
        <v>2.6755586301369861E-2</v>
      </c>
      <c r="G8" s="12">
        <f>(620000)/10000</f>
        <v>62</v>
      </c>
      <c r="H8" s="12">
        <f>(2201104)/10000</f>
        <v>220.1104</v>
      </c>
      <c r="I8" s="13">
        <v>3</v>
      </c>
      <c r="J8" s="13" t="s">
        <v>83</v>
      </c>
      <c r="K8" s="12">
        <f>(620000)/10000</f>
        <v>62</v>
      </c>
      <c r="L8" s="12">
        <f>9145789/10000</f>
        <v>914.57889999999998</v>
      </c>
      <c r="M8" s="13">
        <v>3</v>
      </c>
      <c r="N8" s="13" t="s">
        <v>84</v>
      </c>
    </row>
    <row r="9" spans="1:15" x14ac:dyDescent="0.3">
      <c r="A9" s="9" t="s">
        <v>14</v>
      </c>
      <c r="B9" s="10">
        <v>3.4910000000000001</v>
      </c>
      <c r="C9" s="11">
        <f>E9/B9</f>
        <v>0.67409363207253425</v>
      </c>
      <c r="D9" s="11">
        <f t="shared" si="3"/>
        <v>0.45761508065750289</v>
      </c>
      <c r="E9" s="10">
        <f>((G9+H9)/92)/100</f>
        <v>2.3532608695652173</v>
      </c>
      <c r="F9" s="10">
        <f>((K9+L9)/365)/100</f>
        <v>1.5975342465753426</v>
      </c>
      <c r="G9" s="12">
        <f>77.9*100</f>
        <v>7790.0000000000009</v>
      </c>
      <c r="H9" s="12">
        <f>138.6*100</f>
        <v>13860</v>
      </c>
      <c r="I9" s="13">
        <v>3.32</v>
      </c>
      <c r="J9" s="13" t="s">
        <v>85</v>
      </c>
      <c r="K9" s="12">
        <f>245.5*100</f>
        <v>24550</v>
      </c>
      <c r="L9" s="12">
        <f>337.6*100</f>
        <v>33760</v>
      </c>
      <c r="M9" s="13">
        <v>3.43</v>
      </c>
      <c r="N9" s="13" t="s">
        <v>86</v>
      </c>
    </row>
    <row r="10" spans="1:15" x14ac:dyDescent="0.3">
      <c r="A10" s="9" t="s">
        <v>15</v>
      </c>
      <c r="B10" s="10">
        <v>1.8109999999999999</v>
      </c>
      <c r="C10" s="11">
        <f t="shared" si="2"/>
        <v>0</v>
      </c>
      <c r="D10" s="11">
        <f t="shared" si="3"/>
        <v>0</v>
      </c>
      <c r="E10" s="10">
        <f>((G10+H10)/92)/100</f>
        <v>0</v>
      </c>
      <c r="F10" s="10">
        <f t="shared" si="1"/>
        <v>0</v>
      </c>
      <c r="G10" s="12">
        <v>0</v>
      </c>
      <c r="H10" s="12">
        <v>0</v>
      </c>
      <c r="I10" s="13"/>
      <c r="J10" s="13"/>
      <c r="K10" s="12">
        <v>0</v>
      </c>
      <c r="L10" s="12">
        <v>0</v>
      </c>
      <c r="M10" s="13"/>
      <c r="N10" s="13"/>
    </row>
    <row r="11" spans="1:15" x14ac:dyDescent="0.3">
      <c r="A11" s="9" t="s">
        <v>46</v>
      </c>
      <c r="B11" s="10">
        <v>0.26400000000000001</v>
      </c>
      <c r="C11" s="11">
        <f t="shared" si="2"/>
        <v>0</v>
      </c>
      <c r="D11" s="11">
        <f t="shared" si="3"/>
        <v>0</v>
      </c>
      <c r="E11" s="10">
        <f t="shared" ref="E11:E16" si="4">((G11+H11)/92)/100</f>
        <v>0</v>
      </c>
      <c r="F11" s="10">
        <f t="shared" si="1"/>
        <v>0</v>
      </c>
      <c r="G11" s="12">
        <v>0</v>
      </c>
      <c r="H11" s="12">
        <f>(0*92)/10000</f>
        <v>0</v>
      </c>
      <c r="I11" s="13"/>
      <c r="J11" s="13"/>
      <c r="K11" s="12">
        <v>0</v>
      </c>
      <c r="L11" s="12">
        <v>0</v>
      </c>
      <c r="M11" s="13"/>
      <c r="N11" s="13"/>
    </row>
    <row r="12" spans="1:15" x14ac:dyDescent="0.3">
      <c r="A12" s="9" t="s">
        <v>16</v>
      </c>
      <c r="B12" s="10">
        <v>0.308</v>
      </c>
      <c r="C12" s="11">
        <f t="shared" si="2"/>
        <v>0.15487987012987012</v>
      </c>
      <c r="D12" s="11">
        <f>F12/B12</f>
        <v>7.8541665184130929E-2</v>
      </c>
      <c r="E12" s="10">
        <f t="shared" si="4"/>
        <v>4.7702999999999995E-2</v>
      </c>
      <c r="F12" s="10">
        <f t="shared" si="1"/>
        <v>2.4190832876712327E-2</v>
      </c>
      <c r="G12" s="12">
        <f>(45947*92)/10000</f>
        <v>422.7124</v>
      </c>
      <c r="H12" s="12">
        <f>(AVERAGE(1756)*92)/10000</f>
        <v>16.155200000000001</v>
      </c>
      <c r="I12" s="13">
        <v>2.6</v>
      </c>
      <c r="J12" s="13" t="s">
        <v>87</v>
      </c>
      <c r="K12" s="12">
        <f>(24188*365)/10000</f>
        <v>882.86199999999997</v>
      </c>
      <c r="L12" s="12">
        <f>(1034)/10000</f>
        <v>0.10340000000000001</v>
      </c>
      <c r="M12" s="13">
        <v>2.7</v>
      </c>
      <c r="N12" s="13" t="s">
        <v>56</v>
      </c>
    </row>
    <row r="13" spans="1:15" x14ac:dyDescent="0.3">
      <c r="A13" s="9" t="s">
        <v>17</v>
      </c>
      <c r="B13" s="10">
        <v>1.4419999999999999</v>
      </c>
      <c r="C13" s="11">
        <f t="shared" si="2"/>
        <v>0.17337031900138697</v>
      </c>
      <c r="D13" s="11">
        <f t="shared" si="3"/>
        <v>0.24271844660194175</v>
      </c>
      <c r="E13" s="10">
        <f t="shared" si="4"/>
        <v>0.25</v>
      </c>
      <c r="F13" s="10">
        <f t="shared" si="1"/>
        <v>0.35</v>
      </c>
      <c r="G13" s="12">
        <v>0</v>
      </c>
      <c r="H13" s="12">
        <f>(250*1000*92)/10000</f>
        <v>2300</v>
      </c>
      <c r="I13" s="13"/>
      <c r="J13" s="13" t="s">
        <v>57</v>
      </c>
      <c r="K13" s="12">
        <f>(350*1000*365)/10000</f>
        <v>12775</v>
      </c>
      <c r="L13" s="12">
        <v>0</v>
      </c>
      <c r="M13" s="13">
        <v>3.55</v>
      </c>
      <c r="N13" s="13"/>
    </row>
    <row r="14" spans="1:15" x14ac:dyDescent="0.3">
      <c r="A14" s="9" t="s">
        <v>18</v>
      </c>
      <c r="B14" s="10">
        <v>3.27</v>
      </c>
      <c r="C14" s="11">
        <f t="shared" si="2"/>
        <v>0</v>
      </c>
      <c r="D14" s="11">
        <f t="shared" si="3"/>
        <v>0</v>
      </c>
      <c r="E14" s="10">
        <f t="shared" si="4"/>
        <v>0</v>
      </c>
      <c r="F14" s="10">
        <f t="shared" si="1"/>
        <v>0</v>
      </c>
      <c r="G14" s="12">
        <v>0</v>
      </c>
      <c r="H14" s="12">
        <v>0</v>
      </c>
      <c r="I14" s="13"/>
      <c r="J14" s="13"/>
      <c r="K14" s="12">
        <v>0</v>
      </c>
      <c r="L14" s="12">
        <v>0</v>
      </c>
      <c r="M14" s="13"/>
      <c r="N14" s="13"/>
    </row>
    <row r="15" spans="1:15" x14ac:dyDescent="0.3">
      <c r="A15" s="9" t="s">
        <v>19</v>
      </c>
      <c r="B15" s="10">
        <v>1.4319999999999999</v>
      </c>
      <c r="C15" s="11">
        <f t="shared" si="2"/>
        <v>0.80231357784794755</v>
      </c>
      <c r="D15" s="11">
        <f t="shared" si="3"/>
        <v>0.57377362822376976</v>
      </c>
      <c r="E15" s="10">
        <f t="shared" si="4"/>
        <v>1.1489130434782608</v>
      </c>
      <c r="F15" s="10">
        <f t="shared" si="1"/>
        <v>0.82164383561643828</v>
      </c>
      <c r="G15" s="12">
        <f>105.7*100</f>
        <v>10570</v>
      </c>
      <c r="H15" s="12">
        <v>0</v>
      </c>
      <c r="I15" s="13">
        <v>3.01</v>
      </c>
      <c r="J15" s="13"/>
      <c r="K15" s="12">
        <f>299.9*100</f>
        <v>29989.999999999996</v>
      </c>
      <c r="L15" s="12">
        <v>0</v>
      </c>
      <c r="M15" s="13">
        <v>3.09</v>
      </c>
      <c r="N15" s="13"/>
    </row>
    <row r="16" spans="1:15" x14ac:dyDescent="0.3">
      <c r="A16" s="9" t="s">
        <v>20</v>
      </c>
      <c r="B16" s="10">
        <v>1.0129999999999999</v>
      </c>
      <c r="C16" s="11">
        <f t="shared" si="2"/>
        <v>0.30404738400789744</v>
      </c>
      <c r="D16" s="11">
        <f t="shared" si="3"/>
        <v>0.19047680157946698</v>
      </c>
      <c r="E16" s="10">
        <f t="shared" si="4"/>
        <v>0.30800000000000005</v>
      </c>
      <c r="F16" s="10">
        <f t="shared" si="1"/>
        <v>0.19295300000000001</v>
      </c>
      <c r="G16" s="12">
        <f>(161000*92)/10000</f>
        <v>1481.2</v>
      </c>
      <c r="H16" s="12">
        <f>(147000*92)/10000</f>
        <v>1352.4</v>
      </c>
      <c r="I16" s="13">
        <v>3.36</v>
      </c>
      <c r="J16" s="13" t="s">
        <v>88</v>
      </c>
      <c r="K16" s="12">
        <f>(152426*365)/10000</f>
        <v>5563.549</v>
      </c>
      <c r="L16" s="12">
        <f>(40527*365)/10000</f>
        <v>1479.2355</v>
      </c>
      <c r="M16" s="13">
        <v>3.37</v>
      </c>
      <c r="N16" s="13" t="s">
        <v>59</v>
      </c>
      <c r="O16" s="25"/>
    </row>
    <row r="17" spans="1:15" x14ac:dyDescent="0.3">
      <c r="A17" s="9" t="s">
        <v>21</v>
      </c>
      <c r="B17" s="10">
        <v>0.51200000000000001</v>
      </c>
      <c r="C17" s="11">
        <f t="shared" si="2"/>
        <v>0.60546875</v>
      </c>
      <c r="D17" s="11">
        <f t="shared" si="3"/>
        <v>0.56640625</v>
      </c>
      <c r="E17" s="10">
        <f t="shared" ref="E17:E23" si="5">((G17+H17)/92)/100</f>
        <v>0.31</v>
      </c>
      <c r="F17" s="10">
        <f t="shared" si="1"/>
        <v>0.28999999999999998</v>
      </c>
      <c r="G17" s="12">
        <v>0</v>
      </c>
      <c r="H17" s="12">
        <f>(310000*92)/10000</f>
        <v>2852</v>
      </c>
      <c r="I17" s="13"/>
      <c r="J17" s="13" t="s">
        <v>60</v>
      </c>
      <c r="K17" s="12">
        <v>0</v>
      </c>
      <c r="L17" s="12">
        <f>(290000*365)/10000</f>
        <v>10585</v>
      </c>
      <c r="M17" s="13"/>
      <c r="N17" s="13" t="s">
        <v>89</v>
      </c>
      <c r="O17" s="25"/>
    </row>
    <row r="18" spans="1:15" x14ac:dyDescent="0.3">
      <c r="A18" s="9" t="s">
        <v>22</v>
      </c>
      <c r="B18" s="10">
        <f>1610/1000</f>
        <v>1.61</v>
      </c>
      <c r="C18" s="11">
        <f t="shared" si="2"/>
        <v>0.18633540372670807</v>
      </c>
      <c r="D18" s="11">
        <f t="shared" si="3"/>
        <v>0.45031055900621114</v>
      </c>
      <c r="E18" s="10">
        <f t="shared" si="5"/>
        <v>0.3</v>
      </c>
      <c r="F18" s="10">
        <f t="shared" si="1"/>
        <v>0.72499999999999998</v>
      </c>
      <c r="G18" s="12">
        <f>(300000*92)/10000</f>
        <v>2760</v>
      </c>
      <c r="H18" s="12">
        <v>0</v>
      </c>
      <c r="I18" s="13">
        <v>3.36</v>
      </c>
      <c r="J18" s="13"/>
      <c r="K18" s="12">
        <f>(725000*365)/10000</f>
        <v>26462.5</v>
      </c>
      <c r="L18" s="12">
        <v>0</v>
      </c>
      <c r="M18" s="13">
        <v>3.07</v>
      </c>
      <c r="N18" s="13"/>
    </row>
    <row r="19" spans="1:15" x14ac:dyDescent="0.3">
      <c r="A19" s="9" t="s">
        <v>23</v>
      </c>
      <c r="B19" s="10">
        <v>5.048</v>
      </c>
      <c r="C19" s="11">
        <f t="shared" si="2"/>
        <v>0.82253841383587134</v>
      </c>
      <c r="D19" s="11">
        <f t="shared" si="3"/>
        <v>0.47163667151509892</v>
      </c>
      <c r="E19" s="10">
        <f t="shared" si="5"/>
        <v>4.1521739130434785</v>
      </c>
      <c r="F19" s="10">
        <f t="shared" si="1"/>
        <v>2.3808219178082193</v>
      </c>
      <c r="G19" s="12">
        <f>83000000/10000</f>
        <v>8300</v>
      </c>
      <c r="H19" s="12">
        <f>299000000/10000</f>
        <v>29900</v>
      </c>
      <c r="I19" s="13">
        <v>2.65</v>
      </c>
      <c r="J19" s="13" t="s">
        <v>90</v>
      </c>
      <c r="K19" s="12">
        <f>386000000/10000</f>
        <v>38600</v>
      </c>
      <c r="L19" s="12">
        <f>483000000/10000</f>
        <v>48300</v>
      </c>
      <c r="M19" s="13">
        <v>3.28</v>
      </c>
      <c r="N19" s="13" t="s">
        <v>91</v>
      </c>
    </row>
    <row r="20" spans="1:15" x14ac:dyDescent="0.3">
      <c r="A20" s="9" t="s">
        <v>24</v>
      </c>
      <c r="B20" s="10">
        <v>2.6040000000000001</v>
      </c>
      <c r="C20" s="11">
        <f t="shared" si="2"/>
        <v>0</v>
      </c>
      <c r="D20" s="11">
        <f t="shared" si="3"/>
        <v>0</v>
      </c>
      <c r="E20" s="10">
        <f t="shared" si="5"/>
        <v>0</v>
      </c>
      <c r="F20" s="10">
        <f t="shared" si="1"/>
        <v>0</v>
      </c>
      <c r="G20" s="12">
        <v>0</v>
      </c>
      <c r="H20" s="12">
        <v>0</v>
      </c>
      <c r="I20" s="13"/>
      <c r="J20" s="13"/>
      <c r="K20" s="12">
        <v>0</v>
      </c>
      <c r="L20" s="12">
        <v>0</v>
      </c>
      <c r="M20" s="13"/>
      <c r="N20" s="13"/>
    </row>
    <row r="21" spans="1:15" x14ac:dyDescent="0.3">
      <c r="A21" s="9" t="s">
        <v>25</v>
      </c>
      <c r="B21" s="10">
        <v>0.95799999999999996</v>
      </c>
      <c r="C21" s="11">
        <f t="shared" si="2"/>
        <v>1.0156576200417538</v>
      </c>
      <c r="D21" s="11">
        <f t="shared" si="3"/>
        <v>0.78496868475991655</v>
      </c>
      <c r="E21" s="10">
        <f t="shared" si="5"/>
        <v>0.97299999999999998</v>
      </c>
      <c r="F21" s="10">
        <f t="shared" si="1"/>
        <v>0.752</v>
      </c>
      <c r="G21" s="12">
        <f>(280000*92)/10000</f>
        <v>2576</v>
      </c>
      <c r="H21" s="12">
        <f>((285000+408000)*92)/10000</f>
        <v>6375.6</v>
      </c>
      <c r="I21" s="13">
        <v>4.3600000000000003</v>
      </c>
      <c r="J21" s="13" t="s">
        <v>26</v>
      </c>
      <c r="K21" s="12">
        <f>(325000*365)/10000</f>
        <v>11862.5</v>
      </c>
      <c r="L21" s="12">
        <f>((225000+202000)*365)/10000</f>
        <v>15585.5</v>
      </c>
      <c r="M21" s="13">
        <v>4.05</v>
      </c>
      <c r="N21" s="13" t="s">
        <v>92</v>
      </c>
    </row>
    <row r="22" spans="1:15" x14ac:dyDescent="0.3">
      <c r="A22" s="9" t="s">
        <v>27</v>
      </c>
      <c r="B22" s="10">
        <v>0.23</v>
      </c>
      <c r="C22" s="11">
        <f t="shared" si="2"/>
        <v>0</v>
      </c>
      <c r="D22" s="11">
        <f t="shared" si="3"/>
        <v>0</v>
      </c>
      <c r="E22" s="10">
        <f t="shared" si="5"/>
        <v>0</v>
      </c>
      <c r="F22" s="10">
        <f t="shared" si="1"/>
        <v>0</v>
      </c>
      <c r="G22" s="12">
        <v>0</v>
      </c>
      <c r="H22" s="12">
        <v>0</v>
      </c>
      <c r="I22" s="13"/>
      <c r="J22" s="13"/>
      <c r="K22" s="12">
        <v>0</v>
      </c>
      <c r="L22" s="12">
        <v>0</v>
      </c>
      <c r="M22" s="13"/>
      <c r="N22" s="13"/>
    </row>
    <row r="23" spans="1:15" x14ac:dyDescent="0.3">
      <c r="A23" s="9" t="s">
        <v>28</v>
      </c>
      <c r="B23" s="10">
        <v>0.44400000000000001</v>
      </c>
      <c r="C23" s="11">
        <f t="shared" si="2"/>
        <v>0.11261261261261261</v>
      </c>
      <c r="D23" s="11">
        <f t="shared" si="3"/>
        <v>0</v>
      </c>
      <c r="E23" s="10">
        <f t="shared" si="5"/>
        <v>0.05</v>
      </c>
      <c r="F23" s="10">
        <f t="shared" si="1"/>
        <v>0</v>
      </c>
      <c r="G23" s="12">
        <v>0</v>
      </c>
      <c r="H23" s="12">
        <f>(50000*92)/10000</f>
        <v>460</v>
      </c>
      <c r="I23" s="13"/>
      <c r="J23" s="13" t="s">
        <v>66</v>
      </c>
      <c r="K23" s="12">
        <v>0</v>
      </c>
      <c r="L23" s="12">
        <f>(0*90)/10000</f>
        <v>0</v>
      </c>
      <c r="M23" s="13"/>
      <c r="N23" s="13"/>
    </row>
    <row r="24" spans="1:15" x14ac:dyDescent="0.3">
      <c r="A24" s="9" t="s">
        <v>29</v>
      </c>
      <c r="B24" s="10">
        <v>0.32700000000000001</v>
      </c>
      <c r="C24" s="11">
        <f>E24/B24</f>
        <v>0</v>
      </c>
      <c r="D24" s="11">
        <f t="shared" si="3"/>
        <v>0</v>
      </c>
      <c r="E24" s="10">
        <f>((G24+H24)/92)/100</f>
        <v>0</v>
      </c>
      <c r="F24" s="10">
        <f t="shared" si="1"/>
        <v>0</v>
      </c>
      <c r="G24" s="12">
        <v>0</v>
      </c>
      <c r="H24" s="12">
        <f>(0*3)/10000</f>
        <v>0</v>
      </c>
      <c r="I24" s="13"/>
      <c r="J24" s="13"/>
      <c r="K24" s="12">
        <v>0</v>
      </c>
      <c r="L24" s="12">
        <f>(0*1)/10000</f>
        <v>0</v>
      </c>
      <c r="M24" s="13"/>
      <c r="N24" s="13"/>
    </row>
    <row r="25" spans="1:15" x14ac:dyDescent="0.3">
      <c r="A25" s="9" t="s">
        <v>30</v>
      </c>
      <c r="B25" s="10">
        <v>0.105</v>
      </c>
      <c r="C25" s="11">
        <f t="shared" si="2"/>
        <v>0</v>
      </c>
      <c r="D25" s="11">
        <f t="shared" si="3"/>
        <v>0</v>
      </c>
      <c r="E25" s="10">
        <f>((G25+H25)/92)/100</f>
        <v>0</v>
      </c>
      <c r="F25" s="10">
        <f t="shared" si="1"/>
        <v>0</v>
      </c>
      <c r="G25" s="12">
        <v>0</v>
      </c>
      <c r="H25" s="12">
        <v>0</v>
      </c>
      <c r="I25" s="13"/>
      <c r="J25" s="13"/>
      <c r="K25" s="12">
        <v>0</v>
      </c>
      <c r="L25" s="12">
        <v>0</v>
      </c>
      <c r="M25" s="13"/>
      <c r="N25" s="13"/>
    </row>
    <row r="26" spans="1:15" x14ac:dyDescent="0.3">
      <c r="A26" s="9" t="s">
        <v>31</v>
      </c>
      <c r="B26" s="10">
        <v>1.028</v>
      </c>
      <c r="C26" s="11">
        <f t="shared" si="2"/>
        <v>0.92087498942649293</v>
      </c>
      <c r="D26" s="11">
        <f t="shared" si="3"/>
        <v>0.55385490645487978</v>
      </c>
      <c r="E26" s="10">
        <f>((G26+H26)/92)/100</f>
        <v>0.94665948913043474</v>
      </c>
      <c r="F26" s="10">
        <f t="shared" si="1"/>
        <v>0.56936284383561642</v>
      </c>
      <c r="G26" s="12">
        <f>(13493000+8319673)/10000</f>
        <v>2181.2673</v>
      </c>
      <c r="H26" s="12">
        <f>(65280000)/10000</f>
        <v>6528</v>
      </c>
      <c r="I26" s="13">
        <v>3.34</v>
      </c>
      <c r="J26" s="13" t="s">
        <v>93</v>
      </c>
      <c r="K26" s="12">
        <f>(88810000+75047438)/10000</f>
        <v>16385.7438</v>
      </c>
      <c r="L26" s="12">
        <f>(43960000)/10000</f>
        <v>4396</v>
      </c>
      <c r="M26" s="13">
        <v>3.53</v>
      </c>
      <c r="N26" s="13" t="s">
        <v>94</v>
      </c>
    </row>
    <row r="27" spans="1:15" x14ac:dyDescent="0.3">
      <c r="A27" s="9" t="s">
        <v>32</v>
      </c>
      <c r="B27" s="10">
        <v>1.3120000000000001</v>
      </c>
      <c r="C27" s="11">
        <f t="shared" si="2"/>
        <v>0</v>
      </c>
      <c r="D27" s="11">
        <f t="shared" si="3"/>
        <v>0</v>
      </c>
      <c r="E27" s="10">
        <f>((G27+H27)/92)/100</f>
        <v>0</v>
      </c>
      <c r="F27" s="10">
        <f t="shared" si="1"/>
        <v>0</v>
      </c>
      <c r="G27" s="12">
        <v>0</v>
      </c>
      <c r="H27" s="12">
        <v>0</v>
      </c>
      <c r="I27" s="13"/>
      <c r="J27" s="13"/>
      <c r="K27" s="12">
        <v>0</v>
      </c>
      <c r="L27" s="12">
        <v>0</v>
      </c>
      <c r="M27" s="13"/>
      <c r="N27" s="13"/>
    </row>
    <row r="28" spans="1:15" x14ac:dyDescent="0.3">
      <c r="A28" s="9" t="s">
        <v>33</v>
      </c>
      <c r="B28" s="10">
        <v>1.631</v>
      </c>
      <c r="C28" s="11">
        <f t="shared" si="2"/>
        <v>0.36787247087676272</v>
      </c>
      <c r="D28" s="11">
        <f t="shared" si="3"/>
        <v>0.45984058859595339</v>
      </c>
      <c r="E28" s="10">
        <f>((G28+H28)/92)/100</f>
        <v>0.6</v>
      </c>
      <c r="F28" s="10">
        <f t="shared" si="1"/>
        <v>0.75</v>
      </c>
      <c r="G28" s="12">
        <f>(0/10)*275</f>
        <v>0</v>
      </c>
      <c r="H28" s="12">
        <f>(600/10)*92</f>
        <v>5520</v>
      </c>
      <c r="I28" s="13"/>
      <c r="J28" s="13" t="s">
        <v>69</v>
      </c>
      <c r="K28" s="12">
        <f>(200/10)*365</f>
        <v>7300</v>
      </c>
      <c r="L28" s="12">
        <f>(550/10)*365</f>
        <v>20075</v>
      </c>
      <c r="M28" s="13">
        <v>3.62</v>
      </c>
      <c r="N28" s="13" t="s">
        <v>70</v>
      </c>
    </row>
    <row r="29" spans="1:15" x14ac:dyDescent="0.3">
      <c r="A29" s="9" t="s">
        <v>34</v>
      </c>
      <c r="B29" s="10">
        <v>0.88700000000000001</v>
      </c>
      <c r="C29" s="11">
        <f t="shared" si="2"/>
        <v>0</v>
      </c>
      <c r="D29" s="11">
        <f t="shared" si="3"/>
        <v>0</v>
      </c>
      <c r="E29" s="10">
        <f>((G29+H29)/92)/100</f>
        <v>0</v>
      </c>
      <c r="F29" s="10">
        <f t="shared" si="1"/>
        <v>0</v>
      </c>
      <c r="G29" s="12">
        <v>0</v>
      </c>
      <c r="H29" s="12">
        <v>0</v>
      </c>
      <c r="I29" s="13"/>
      <c r="J29" s="13"/>
      <c r="K29" s="12">
        <v>0</v>
      </c>
      <c r="L29" s="12">
        <v>0</v>
      </c>
      <c r="M29" s="13"/>
      <c r="N29" s="13"/>
    </row>
    <row r="30" spans="1:15" x14ac:dyDescent="0.3">
      <c r="A30" s="9" t="s">
        <v>35</v>
      </c>
      <c r="B30" s="10">
        <v>1.4930000000000001</v>
      </c>
      <c r="C30" s="11">
        <f t="shared" si="2"/>
        <v>0.53354052243804417</v>
      </c>
      <c r="D30" s="11">
        <f t="shared" si="3"/>
        <v>0.53025251172136623</v>
      </c>
      <c r="E30" s="10">
        <f>((G30+H30)/92)/100</f>
        <v>0.79657600000000006</v>
      </c>
      <c r="F30" s="10">
        <f t="shared" si="1"/>
        <v>0.7916669999999999</v>
      </c>
      <c r="G30" s="12">
        <f>(383315*92)/10000</f>
        <v>3526.498</v>
      </c>
      <c r="H30" s="12">
        <f>((253370+159891)*92)/10000</f>
        <v>3802.0012000000002</v>
      </c>
      <c r="I30" s="13">
        <v>3.5</v>
      </c>
      <c r="J30" s="13" t="s">
        <v>95</v>
      </c>
      <c r="K30" s="12">
        <f>(304973*365)/10000</f>
        <v>11131.514499999999</v>
      </c>
      <c r="L30" s="12">
        <f>((436694+50000)*365)/10000</f>
        <v>17764.330999999998</v>
      </c>
      <c r="M30" s="13">
        <v>4.01</v>
      </c>
      <c r="N30" s="13" t="s">
        <v>96</v>
      </c>
    </row>
    <row r="31" spans="1:15" x14ac:dyDescent="0.3">
      <c r="A31" s="9" t="s">
        <v>36</v>
      </c>
      <c r="B31" s="10">
        <v>0.35799999999999998</v>
      </c>
      <c r="C31" s="11">
        <f t="shared" si="2"/>
        <v>0.29794146222977896</v>
      </c>
      <c r="D31" s="11">
        <f t="shared" si="3"/>
        <v>0.20300757633733832</v>
      </c>
      <c r="E31" s="10">
        <f>((G31+H31)/92)/100</f>
        <v>0.10666304347826086</v>
      </c>
      <c r="F31" s="10">
        <f t="shared" si="1"/>
        <v>7.2676712328767115E-2</v>
      </c>
      <c r="G31" s="12">
        <f>0/10000</f>
        <v>0</v>
      </c>
      <c r="H31" s="12">
        <f>9813000/10000</f>
        <v>981.3</v>
      </c>
      <c r="I31" s="13"/>
      <c r="J31" s="13" t="s">
        <v>97</v>
      </c>
      <c r="K31" s="12">
        <f>4185000/10000</f>
        <v>418.5</v>
      </c>
      <c r="L31" s="12">
        <f>22342000/10000</f>
        <v>2234.1999999999998</v>
      </c>
      <c r="M31" s="13">
        <v>3.27</v>
      </c>
      <c r="N31" s="13" t="s">
        <v>74</v>
      </c>
    </row>
    <row r="32" spans="1:15" x14ac:dyDescent="0.3">
      <c r="A32" s="9" t="s">
        <v>37</v>
      </c>
      <c r="B32" s="10">
        <v>0.21099999999999999</v>
      </c>
      <c r="C32" s="11">
        <f>E32/B32</f>
        <v>0.93612198640016486</v>
      </c>
      <c r="D32" s="11">
        <f t="shared" si="3"/>
        <v>0.99581899629942239</v>
      </c>
      <c r="E32" s="10">
        <f>((G32+H32)/92)/100</f>
        <v>0.19752173913043478</v>
      </c>
      <c r="F32" s="10">
        <f>((K32+L32)/365)/100</f>
        <v>0.21011780821917811</v>
      </c>
      <c r="G32" s="12">
        <f>5.727*100</f>
        <v>572.70000000000005</v>
      </c>
      <c r="H32" s="12">
        <f>12.445*100</f>
        <v>1244.5</v>
      </c>
      <c r="I32" s="13">
        <v>4.2</v>
      </c>
      <c r="J32" s="13" t="s">
        <v>98</v>
      </c>
      <c r="K32" s="12">
        <f>(9.506+14.78+15.18+15.18)*100</f>
        <v>5464.6</v>
      </c>
      <c r="L32" s="12">
        <f>(9.661+4.643+3.878+3.865)*100</f>
        <v>2204.6999999999998</v>
      </c>
      <c r="M32" s="13">
        <v>3.86</v>
      </c>
      <c r="N32" s="13" t="s">
        <v>99</v>
      </c>
    </row>
    <row r="33" spans="1:14" x14ac:dyDescent="0.3">
      <c r="A33" s="9" t="s">
        <v>38</v>
      </c>
      <c r="B33" s="10">
        <v>3.9729999999999999</v>
      </c>
      <c r="C33" s="11">
        <f t="shared" si="2"/>
        <v>0.70585145383512615</v>
      </c>
      <c r="D33" s="11">
        <f t="shared" si="3"/>
        <v>0.44754145275127666</v>
      </c>
      <c r="E33" s="10">
        <f>((G33+H33)/92)/100</f>
        <v>2.8043478260869561</v>
      </c>
      <c r="F33" s="10">
        <f t="shared" si="1"/>
        <v>1.7780821917808221</v>
      </c>
      <c r="G33" s="12">
        <f>179*100</f>
        <v>17900</v>
      </c>
      <c r="H33" s="12">
        <f>(32+47)*100</f>
        <v>7900</v>
      </c>
      <c r="I33" s="13">
        <v>3.28</v>
      </c>
      <c r="J33" s="13" t="s">
        <v>100</v>
      </c>
      <c r="K33" s="12">
        <f>528*100</f>
        <v>52800</v>
      </c>
      <c r="L33" s="12">
        <f>(44+77)*100</f>
        <v>12100</v>
      </c>
      <c r="M33" s="13">
        <v>3.54</v>
      </c>
      <c r="N33" s="13" t="s">
        <v>101</v>
      </c>
    </row>
    <row r="34" spans="1:14" x14ac:dyDescent="0.3">
      <c r="A34" s="9" t="s">
        <v>39</v>
      </c>
      <c r="B34" s="10">
        <v>0.20699999999999999</v>
      </c>
      <c r="C34" s="11">
        <f t="shared" si="2"/>
        <v>0</v>
      </c>
      <c r="D34" s="11">
        <f t="shared" si="3"/>
        <v>0</v>
      </c>
      <c r="E34" s="10">
        <f>((G34+H34)/92)/100</f>
        <v>0</v>
      </c>
      <c r="F34" s="10">
        <f t="shared" si="1"/>
        <v>0</v>
      </c>
      <c r="G34" s="12">
        <v>0</v>
      </c>
      <c r="H34" s="12">
        <v>0</v>
      </c>
      <c r="I34" s="13"/>
      <c r="J34" s="13"/>
      <c r="K34" s="12">
        <v>0</v>
      </c>
      <c r="L34" s="12">
        <v>0</v>
      </c>
      <c r="M34" s="13"/>
      <c r="N34" s="13"/>
    </row>
    <row r="35" spans="1:14" x14ac:dyDescent="0.3">
      <c r="A35" s="9" t="s">
        <v>65</v>
      </c>
      <c r="B35" s="10">
        <v>0.152</v>
      </c>
      <c r="C35" s="11">
        <f>E35/B35</f>
        <v>0.49328046338672765</v>
      </c>
      <c r="D35" s="11">
        <f>F35/B35</f>
        <v>0.48399408795962506</v>
      </c>
      <c r="E35" s="10">
        <f>((G35+H35)/92)/100</f>
        <v>7.4978630434782603E-2</v>
      </c>
      <c r="F35" s="10">
        <f>((K35+L35)/365)/100</f>
        <v>7.3567101369863011E-2</v>
      </c>
      <c r="G35" s="12">
        <f>(38000)/10000</f>
        <v>3.8</v>
      </c>
      <c r="H35" s="12">
        <f>(6826534+33500)/10000</f>
        <v>686.00340000000006</v>
      </c>
      <c r="I35" s="13">
        <v>2.46</v>
      </c>
      <c r="J35" s="13" t="s">
        <v>102</v>
      </c>
      <c r="K35" s="12">
        <f>(26075700)/10000</f>
        <v>2607.5700000000002</v>
      </c>
      <c r="L35" s="12">
        <f>(776292)/10000</f>
        <v>77.629199999999997</v>
      </c>
      <c r="M35" s="13">
        <v>3.4750000000000001</v>
      </c>
      <c r="N35" s="13" t="s">
        <v>103</v>
      </c>
    </row>
    <row r="36" spans="1:14" x14ac:dyDescent="0.3">
      <c r="A36" s="9" t="s">
        <v>40</v>
      </c>
      <c r="B36" s="10">
        <v>0.11899999999999999</v>
      </c>
      <c r="C36" s="11">
        <f t="shared" si="2"/>
        <v>1.1910840336134452</v>
      </c>
      <c r="D36" s="11">
        <f t="shared" si="3"/>
        <v>1.0972521008403362</v>
      </c>
      <c r="E36" s="10">
        <f>((G36+H36)/92)/100</f>
        <v>0.14173899999999998</v>
      </c>
      <c r="F36" s="10">
        <f t="shared" si="1"/>
        <v>0.13057299999999999</v>
      </c>
      <c r="G36" s="12">
        <f>((71739)*92)/10000</f>
        <v>659.99879999999996</v>
      </c>
      <c r="H36" s="12">
        <f>(70000*92)/10000</f>
        <v>644</v>
      </c>
      <c r="I36" s="13">
        <v>2.5</v>
      </c>
      <c r="J36" s="13">
        <v>7.5</v>
      </c>
      <c r="K36" s="12">
        <f>((65573)*365)/10000</f>
        <v>2393.4144999999999</v>
      </c>
      <c r="L36" s="12">
        <f>((65000)*365)/10000</f>
        <v>2372.5</v>
      </c>
      <c r="M36" s="13">
        <v>2.46</v>
      </c>
      <c r="N36" s="13">
        <v>6.13</v>
      </c>
    </row>
    <row r="37" spans="1:14" x14ac:dyDescent="0.3">
      <c r="A37" s="9" t="s">
        <v>41</v>
      </c>
      <c r="B37" s="10">
        <v>7.5999999999999998E-2</v>
      </c>
      <c r="C37" s="11">
        <f t="shared" si="2"/>
        <v>0.39473684210526316</v>
      </c>
      <c r="D37" s="11">
        <f>F37/B37</f>
        <v>0.36184210526315791</v>
      </c>
      <c r="E37" s="10">
        <f>((G37+H37)/92)/100</f>
        <v>0.03</v>
      </c>
      <c r="F37" s="10">
        <f>((K37+L37)/365)/100</f>
        <v>2.75E-2</v>
      </c>
      <c r="G37" s="12">
        <f>(20000*92)/10000</f>
        <v>184</v>
      </c>
      <c r="H37" s="12">
        <f>(10000*92)/10000</f>
        <v>92</v>
      </c>
      <c r="I37" s="13">
        <v>4.22</v>
      </c>
      <c r="J37" s="13" t="s">
        <v>79</v>
      </c>
      <c r="K37" s="12">
        <f>(17500*365)/10000</f>
        <v>638.75</v>
      </c>
      <c r="L37" s="12">
        <f>(10000*365)/10000</f>
        <v>365</v>
      </c>
      <c r="M37" s="13">
        <v>3.46</v>
      </c>
      <c r="N37" s="13" t="s">
        <v>80</v>
      </c>
    </row>
    <row r="38" spans="1:14" x14ac:dyDescent="0.3">
      <c r="A38" s="15" t="s">
        <v>42</v>
      </c>
      <c r="B38" s="16">
        <f>SUM(B3:B37)</f>
        <v>45.118999999999986</v>
      </c>
      <c r="C38" s="17">
        <f t="shared" si="2"/>
        <v>0.38658690472634216</v>
      </c>
      <c r="D38" s="18">
        <f>F38/B38</f>
        <v>0.29205391058713237</v>
      </c>
      <c r="E38" s="19">
        <f>((G38+H38)/92)/100</f>
        <v>17.442414554347828</v>
      </c>
      <c r="F38" s="20">
        <f>((K38+L38)/365)/100</f>
        <v>13.177180391780821</v>
      </c>
      <c r="G38" s="21">
        <f>SUM(G3:G37)</f>
        <v>72821.143700000001</v>
      </c>
      <c r="H38" s="21">
        <f>SUM(H3:H37)</f>
        <v>87649.070200000016</v>
      </c>
      <c r="I38" s="22">
        <f>AVERAGE(I3:I37)</f>
        <v>3.2176470588235291</v>
      </c>
      <c r="J38" s="22"/>
      <c r="K38" s="23">
        <f>SUM(K3:K37)</f>
        <v>302225.3063</v>
      </c>
      <c r="L38" s="23">
        <f>SUM(L3:L37)</f>
        <v>178741.77800000002</v>
      </c>
      <c r="M38" s="24">
        <f>AVERAGE(M3:M37)</f>
        <v>3.3322499999999997</v>
      </c>
      <c r="N38" s="24"/>
    </row>
    <row r="42" spans="1:14" x14ac:dyDescent="0.3">
      <c r="G42" s="26"/>
    </row>
    <row r="43" spans="1:14" x14ac:dyDescent="0.3">
      <c r="G43" s="26"/>
    </row>
  </sheetData>
  <pageMargins left="0.7" right="0.7" top="0.75" bottom="0.75" header="0.3" footer="0.3"/>
  <ignoredErrors>
    <ignoredError sqref="E5:F5 E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E103-8B32-4162-8EEA-7821DF3A089C}">
  <dimension ref="A1:O3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31.5546875" style="2" bestFit="1" customWidth="1"/>
    <col min="2" max="2" width="14.44140625" style="2" bestFit="1" customWidth="1"/>
    <col min="3" max="4" width="9" style="2" bestFit="1" customWidth="1"/>
    <col min="5" max="6" width="7.109375" style="2" bestFit="1" customWidth="1"/>
    <col min="7" max="7" width="12.88671875" style="2" bestFit="1" customWidth="1"/>
    <col min="8" max="8" width="11.21875" style="2" bestFit="1" customWidth="1"/>
    <col min="9" max="10" width="12.88671875" style="2" bestFit="1" customWidth="1"/>
    <col min="11" max="11" width="13.6640625" style="2" bestFit="1" customWidth="1"/>
    <col min="12" max="12" width="8.88671875" style="2"/>
    <col min="13" max="13" width="12.88671875" style="2" bestFit="1" customWidth="1"/>
    <col min="14" max="14" width="14" style="2" bestFit="1" customWidth="1"/>
    <col min="15" max="16384" width="8.88671875" style="2"/>
  </cols>
  <sheetData>
    <row r="1" spans="1:15" ht="28.8" x14ac:dyDescent="0.3">
      <c r="A1" s="1" t="s">
        <v>107</v>
      </c>
      <c r="G1" s="3">
        <v>2023</v>
      </c>
      <c r="H1" s="3">
        <v>2023</v>
      </c>
      <c r="I1" s="3">
        <v>2023</v>
      </c>
      <c r="J1" s="3">
        <v>2023</v>
      </c>
      <c r="K1" s="4">
        <v>2024</v>
      </c>
      <c r="L1" s="4">
        <v>2024</v>
      </c>
      <c r="M1" s="4">
        <v>2024</v>
      </c>
      <c r="N1" s="4">
        <v>2024</v>
      </c>
    </row>
    <row r="2" spans="1:15" s="1" customFormat="1" ht="57.6" x14ac:dyDescent="0.3">
      <c r="A2" s="5" t="s">
        <v>1</v>
      </c>
      <c r="B2" s="6" t="s">
        <v>104</v>
      </c>
      <c r="C2" s="7" t="s">
        <v>2</v>
      </c>
      <c r="D2" s="8" t="s">
        <v>44</v>
      </c>
      <c r="E2" s="7" t="s">
        <v>105</v>
      </c>
      <c r="F2" s="8" t="s">
        <v>106</v>
      </c>
      <c r="G2" s="7" t="s">
        <v>4</v>
      </c>
      <c r="H2" s="7" t="s">
        <v>5</v>
      </c>
      <c r="I2" s="7" t="s">
        <v>6</v>
      </c>
      <c r="J2" s="7" t="s">
        <v>7</v>
      </c>
      <c r="K2" s="8" t="s">
        <v>4</v>
      </c>
      <c r="L2" s="8" t="s">
        <v>5</v>
      </c>
      <c r="M2" s="8" t="s">
        <v>6</v>
      </c>
      <c r="N2" s="8" t="s">
        <v>7</v>
      </c>
    </row>
    <row r="3" spans="1:15" x14ac:dyDescent="0.3">
      <c r="A3" s="9" t="s">
        <v>8</v>
      </c>
      <c r="B3" s="10">
        <v>7.9259999999999997E-2</v>
      </c>
      <c r="C3" s="11">
        <f t="shared" ref="C3" si="0">E3/B3</f>
        <v>0</v>
      </c>
      <c r="D3" s="11">
        <f>F3/B3</f>
        <v>0</v>
      </c>
      <c r="E3" s="10">
        <f>((G3+H3)/92)/100</f>
        <v>0</v>
      </c>
      <c r="F3" s="10">
        <f t="shared" ref="F3:F15" si="1">((K3+L3)/365)/100</f>
        <v>0</v>
      </c>
      <c r="G3" s="12">
        <v>0</v>
      </c>
      <c r="H3" s="12">
        <v>0</v>
      </c>
      <c r="I3" s="13"/>
      <c r="J3" s="13"/>
      <c r="K3" s="12">
        <v>0</v>
      </c>
      <c r="L3" s="12">
        <v>0</v>
      </c>
      <c r="M3" s="14"/>
      <c r="N3" s="14"/>
    </row>
    <row r="4" spans="1:15" x14ac:dyDescent="0.3">
      <c r="A4" s="9" t="s">
        <v>11</v>
      </c>
      <c r="B4" s="10">
        <v>0.13250000000000001</v>
      </c>
      <c r="C4" s="11">
        <f t="shared" ref="C4:C27" si="2">E4/B4</f>
        <v>0</v>
      </c>
      <c r="D4" s="11">
        <f t="shared" ref="D4:D25" si="3">F4/B4</f>
        <v>0</v>
      </c>
      <c r="E4" s="10">
        <f>((G4+H4)/92)/100</f>
        <v>0</v>
      </c>
      <c r="F4" s="10">
        <f t="shared" si="1"/>
        <v>0</v>
      </c>
      <c r="G4" s="12">
        <v>0</v>
      </c>
      <c r="H4" s="12">
        <v>0</v>
      </c>
      <c r="I4" s="13"/>
      <c r="J4" s="13"/>
      <c r="K4" s="12">
        <v>0</v>
      </c>
      <c r="L4" s="12">
        <v>0</v>
      </c>
      <c r="M4" s="13"/>
      <c r="N4" s="13"/>
    </row>
    <row r="5" spans="1:15" x14ac:dyDescent="0.3">
      <c r="A5" s="9" t="s">
        <v>12</v>
      </c>
      <c r="B5" s="10">
        <v>9.4479999999999995E-2</v>
      </c>
      <c r="C5" s="11">
        <f t="shared" si="2"/>
        <v>0.31752751905165116</v>
      </c>
      <c r="D5" s="11">
        <f t="shared" si="3"/>
        <v>0.15890874926055237</v>
      </c>
      <c r="E5" s="10">
        <f>((G5+H5)/92)/1000</f>
        <v>0.03</v>
      </c>
      <c r="F5" s="10">
        <f>((K5+L5)/365)/1000</f>
        <v>1.5013698630136987E-2</v>
      </c>
      <c r="G5" s="12">
        <v>0</v>
      </c>
      <c r="H5" s="12">
        <f>(2760)</f>
        <v>2760</v>
      </c>
      <c r="I5" s="13"/>
      <c r="J5" s="13" t="s">
        <v>108</v>
      </c>
      <c r="K5" s="12">
        <v>0</v>
      </c>
      <c r="L5" s="12">
        <f>(1820+1820+920+920)</f>
        <v>5480</v>
      </c>
      <c r="M5" s="13"/>
      <c r="N5" s="13" t="s">
        <v>109</v>
      </c>
    </row>
    <row r="6" spans="1:15" x14ac:dyDescent="0.3">
      <c r="A6" s="9" t="s">
        <v>13</v>
      </c>
      <c r="B6" s="10">
        <v>6.1699999999999998E-2</v>
      </c>
      <c r="C6" s="11">
        <f t="shared" si="2"/>
        <v>0.2704148756253964</v>
      </c>
      <c r="D6" s="11">
        <f t="shared" si="3"/>
        <v>0.22376634621789038</v>
      </c>
      <c r="E6" s="10">
        <f>((G6+H6)/92)/1000</f>
        <v>1.6684597826086958E-2</v>
      </c>
      <c r="F6" s="10">
        <f>((K6+L6)/365)/1000</f>
        <v>1.3806383561643836E-2</v>
      </c>
      <c r="G6" s="12">
        <f>(0)/10000</f>
        <v>0</v>
      </c>
      <c r="H6" s="12">
        <f>(993.455+541.528)</f>
        <v>1534.9830000000002</v>
      </c>
      <c r="I6" s="13"/>
      <c r="J6" s="13" t="s">
        <v>110</v>
      </c>
      <c r="K6" s="12">
        <f>(1076.3)</f>
        <v>1076.3</v>
      </c>
      <c r="L6" s="12">
        <f>3963.03</f>
        <v>3963.03</v>
      </c>
      <c r="M6" s="13">
        <v>81.66</v>
      </c>
      <c r="N6" s="13" t="s">
        <v>111</v>
      </c>
    </row>
    <row r="7" spans="1:15" x14ac:dyDescent="0.3">
      <c r="A7" s="9" t="s">
        <v>14</v>
      </c>
      <c r="B7" s="10">
        <v>2.3959999999999999E-2</v>
      </c>
      <c r="C7" s="11">
        <f>E7/B7</f>
        <v>0</v>
      </c>
      <c r="D7" s="11">
        <f t="shared" si="3"/>
        <v>0</v>
      </c>
      <c r="E7" s="10">
        <f>((G7+H7)/92)</f>
        <v>0</v>
      </c>
      <c r="F7" s="10">
        <f>((K7+L7)/365)</f>
        <v>0</v>
      </c>
      <c r="G7" s="12">
        <v>0</v>
      </c>
      <c r="H7" s="12">
        <v>0</v>
      </c>
      <c r="I7" s="13"/>
      <c r="J7" s="13"/>
      <c r="K7" s="12">
        <v>0</v>
      </c>
      <c r="L7" s="12">
        <v>0</v>
      </c>
      <c r="M7" s="13"/>
      <c r="N7" s="13"/>
    </row>
    <row r="8" spans="1:15" x14ac:dyDescent="0.3">
      <c r="A8" s="9" t="s">
        <v>15</v>
      </c>
      <c r="B8" s="10">
        <v>0.96399999999999997</v>
      </c>
      <c r="C8" s="11">
        <f t="shared" si="2"/>
        <v>0</v>
      </c>
      <c r="D8" s="11">
        <f t="shared" si="3"/>
        <v>0</v>
      </c>
      <c r="E8" s="10">
        <f t="shared" ref="E8" si="4">((G8+H8)/184)/100</f>
        <v>0</v>
      </c>
      <c r="F8" s="10">
        <f t="shared" si="1"/>
        <v>0</v>
      </c>
      <c r="G8" s="12">
        <v>0</v>
      </c>
      <c r="H8" s="12">
        <v>0</v>
      </c>
      <c r="I8" s="13"/>
      <c r="J8" s="13"/>
      <c r="K8" s="12">
        <v>0</v>
      </c>
      <c r="L8" s="12">
        <v>0</v>
      </c>
      <c r="M8" s="13"/>
      <c r="N8" s="13"/>
    </row>
    <row r="9" spans="1:15" x14ac:dyDescent="0.3">
      <c r="A9" s="9" t="s">
        <v>46</v>
      </c>
      <c r="B9" s="10">
        <v>9.9099999999999994E-2</v>
      </c>
      <c r="C9" s="11">
        <f t="shared" si="2"/>
        <v>0.37840565085771949</v>
      </c>
      <c r="D9" s="11">
        <f t="shared" si="3"/>
        <v>0.12865792129162462</v>
      </c>
      <c r="E9" s="10">
        <f>((G9+H9)/92)/1000</f>
        <v>3.7499999999999999E-2</v>
      </c>
      <c r="F9" s="10">
        <f>((K9+L9)/365)/1000</f>
        <v>1.2749999999999999E-2</v>
      </c>
      <c r="G9" s="12">
        <f>(14000*92)/1000</f>
        <v>1288</v>
      </c>
      <c r="H9" s="12">
        <f>(23500*92)/1000</f>
        <v>2162</v>
      </c>
      <c r="I9" s="13">
        <v>50</v>
      </c>
      <c r="J9" s="13" t="s">
        <v>112</v>
      </c>
      <c r="K9" s="12">
        <f>(0*365)/1000</f>
        <v>0</v>
      </c>
      <c r="L9" s="12">
        <f>((10750+2000)*365)/1000</f>
        <v>4653.75</v>
      </c>
      <c r="M9" s="13"/>
      <c r="N9" s="13" t="s">
        <v>113</v>
      </c>
    </row>
    <row r="10" spans="1:15" x14ac:dyDescent="0.3">
      <c r="A10" s="9" t="s">
        <v>16</v>
      </c>
      <c r="B10" s="10">
        <v>0.10100000000000001</v>
      </c>
      <c r="C10" s="11">
        <f t="shared" si="2"/>
        <v>0.39331683168316833</v>
      </c>
      <c r="D10" s="11">
        <f>F10/B10</f>
        <v>0.34451237623762376</v>
      </c>
      <c r="E10" s="10">
        <f>((G10+H10)/92)/1000</f>
        <v>3.9725000000000003E-2</v>
      </c>
      <c r="F10" s="10">
        <f>((K10+L10))/365/1000</f>
        <v>3.479575E-2</v>
      </c>
      <c r="G10" s="12">
        <f>(29161*92)/1000</f>
        <v>2682.8119999999999</v>
      </c>
      <c r="H10" s="12">
        <f>((9392+1172)*92)/1000</f>
        <v>971.88800000000003</v>
      </c>
      <c r="I10" s="13">
        <v>71.83</v>
      </c>
      <c r="J10" s="13" t="s">
        <v>114</v>
      </c>
      <c r="K10" s="12">
        <f>(AVERAGE(12727,11991,10536,3032)*365)/1000</f>
        <v>3493.5974999999999</v>
      </c>
      <c r="L10" s="12">
        <f>((AVERAGE(25913,22930,18324,10708)*365+AVERAGE(7942,6953,6216,1911)*365))/1000</f>
        <v>9206.8512499999997</v>
      </c>
      <c r="M10" s="13">
        <v>69.37</v>
      </c>
      <c r="N10" s="13" t="s">
        <v>115</v>
      </c>
    </row>
    <row r="11" spans="1:15" x14ac:dyDescent="0.3">
      <c r="A11" s="9" t="s">
        <v>18</v>
      </c>
      <c r="B11" s="10">
        <v>0.93600000000000005</v>
      </c>
      <c r="C11" s="11">
        <f t="shared" si="2"/>
        <v>0</v>
      </c>
      <c r="D11" s="11">
        <f t="shared" si="3"/>
        <v>0</v>
      </c>
      <c r="E11" s="10">
        <f>((G11+H11)/92)/1000</f>
        <v>0</v>
      </c>
      <c r="F11" s="10">
        <f>((K11+L11)/365)/1000</f>
        <v>0</v>
      </c>
      <c r="G11" s="12">
        <v>0</v>
      </c>
      <c r="H11" s="12">
        <v>0</v>
      </c>
      <c r="I11" s="13"/>
      <c r="J11" s="13"/>
      <c r="K11" s="12">
        <v>0</v>
      </c>
      <c r="L11" s="12">
        <v>0</v>
      </c>
      <c r="M11" s="13"/>
      <c r="N11" s="13"/>
    </row>
    <row r="12" spans="1:15" x14ac:dyDescent="0.3">
      <c r="A12" s="9" t="s">
        <v>20</v>
      </c>
      <c r="B12" s="10">
        <v>0.32050000000000001</v>
      </c>
      <c r="C12" s="11">
        <f t="shared" si="2"/>
        <v>0.32449297971918872</v>
      </c>
      <c r="D12" s="11">
        <f t="shared" si="3"/>
        <v>0.27136349453978159</v>
      </c>
      <c r="E12" s="10">
        <f>((G12+H12)/92)/1000</f>
        <v>0.104</v>
      </c>
      <c r="F12" s="10">
        <f>((K12+L12)/365)/1000</f>
        <v>8.6971999999999994E-2</v>
      </c>
      <c r="G12" s="12">
        <f>(23000*92)/1000</f>
        <v>2116</v>
      </c>
      <c r="H12" s="12">
        <f>(81000*92)/1000</f>
        <v>7452</v>
      </c>
      <c r="I12" s="13">
        <v>73.38</v>
      </c>
      <c r="J12" s="13" t="s">
        <v>116</v>
      </c>
      <c r="K12" s="12">
        <f>(27486*365)/1000</f>
        <v>10032.39</v>
      </c>
      <c r="L12" s="12">
        <f>(59486*365)/1000</f>
        <v>21712.39</v>
      </c>
      <c r="M12" s="13">
        <v>77.739999999999995</v>
      </c>
      <c r="N12" s="13" t="s">
        <v>117</v>
      </c>
      <c r="O12" s="25"/>
    </row>
    <row r="13" spans="1:15" x14ac:dyDescent="0.3">
      <c r="A13" s="9" t="s">
        <v>21</v>
      </c>
      <c r="B13" s="10">
        <v>0.26266</v>
      </c>
      <c r="C13" s="11">
        <f t="shared" si="2"/>
        <v>0.58630929719028402</v>
      </c>
      <c r="D13" s="11">
        <f t="shared" si="3"/>
        <v>0.35216629863702126</v>
      </c>
      <c r="E13" s="10">
        <f>((G13+H13)/92)/1000</f>
        <v>0.154</v>
      </c>
      <c r="F13" s="10">
        <f>((K13+L13)/365)/1000</f>
        <v>9.2499999999999999E-2</v>
      </c>
      <c r="G13" s="12">
        <f>(0*92)/1000</f>
        <v>0</v>
      </c>
      <c r="H13" s="12">
        <f>(154000*92)/1000</f>
        <v>14168</v>
      </c>
      <c r="I13" s="13"/>
      <c r="J13" s="13">
        <v>56.25</v>
      </c>
      <c r="K13" s="12">
        <v>0</v>
      </c>
      <c r="L13" s="12">
        <f>(92500*365)/1000</f>
        <v>33762.5</v>
      </c>
      <c r="M13" s="13"/>
      <c r="N13" s="13">
        <v>55</v>
      </c>
      <c r="O13" s="25"/>
    </row>
    <row r="14" spans="1:15" x14ac:dyDescent="0.3">
      <c r="A14" s="9" t="s">
        <v>22</v>
      </c>
      <c r="B14" s="10">
        <v>0.47475000000000001</v>
      </c>
      <c r="C14" s="11">
        <f t="shared" si="2"/>
        <v>0</v>
      </c>
      <c r="D14" s="11">
        <f t="shared" si="3"/>
        <v>0</v>
      </c>
      <c r="E14" s="10">
        <f t="shared" ref="E14:E16" si="5">((G14+H14)/92)/100</f>
        <v>0</v>
      </c>
      <c r="F14" s="10">
        <f t="shared" si="1"/>
        <v>0</v>
      </c>
      <c r="G14" s="12">
        <f>(0*92)/1000</f>
        <v>0</v>
      </c>
      <c r="H14" s="12">
        <f>(0*92)/1000</f>
        <v>0</v>
      </c>
      <c r="I14" s="13"/>
      <c r="J14" s="13"/>
      <c r="K14" s="12">
        <f>(0*92)/1000</f>
        <v>0</v>
      </c>
      <c r="L14" s="12">
        <f>(0*92)/1000</f>
        <v>0</v>
      </c>
      <c r="M14" s="13"/>
      <c r="N14" s="13"/>
    </row>
    <row r="15" spans="1:15" x14ac:dyDescent="0.3">
      <c r="A15" s="9" t="s">
        <v>24</v>
      </c>
      <c r="B15" s="10">
        <v>0.80100000000000005</v>
      </c>
      <c r="C15" s="11">
        <f t="shared" si="2"/>
        <v>0</v>
      </c>
      <c r="D15" s="11">
        <f t="shared" si="3"/>
        <v>0</v>
      </c>
      <c r="E15" s="10">
        <f t="shared" si="5"/>
        <v>0</v>
      </c>
      <c r="F15" s="10">
        <f t="shared" si="1"/>
        <v>0</v>
      </c>
      <c r="G15" s="12">
        <v>0</v>
      </c>
      <c r="H15" s="12">
        <v>0</v>
      </c>
      <c r="I15" s="13"/>
      <c r="J15" s="13"/>
      <c r="K15" s="12">
        <v>0</v>
      </c>
      <c r="L15" s="12">
        <v>0</v>
      </c>
      <c r="M15" s="13"/>
      <c r="N15" s="13"/>
    </row>
    <row r="16" spans="1:15" x14ac:dyDescent="0.3">
      <c r="A16" s="9" t="s">
        <v>27</v>
      </c>
      <c r="B16" s="10">
        <v>0.10382</v>
      </c>
      <c r="C16" s="11">
        <f t="shared" si="2"/>
        <v>0</v>
      </c>
      <c r="D16" s="11">
        <f t="shared" si="3"/>
        <v>0</v>
      </c>
      <c r="E16" s="10">
        <f t="shared" si="5"/>
        <v>0</v>
      </c>
      <c r="F16" s="10">
        <f t="shared" ref="F16:F26" si="6">((K16+L16)/365)/1000</f>
        <v>0</v>
      </c>
      <c r="G16" s="12">
        <v>0</v>
      </c>
      <c r="H16" s="12">
        <v>0</v>
      </c>
      <c r="I16" s="13"/>
      <c r="J16" s="13"/>
      <c r="K16" s="12">
        <v>0</v>
      </c>
      <c r="L16" s="12">
        <v>0</v>
      </c>
      <c r="M16" s="13"/>
      <c r="N16" s="13"/>
    </row>
    <row r="17" spans="1:14" x14ac:dyDescent="0.3">
      <c r="A17" s="9" t="s">
        <v>28</v>
      </c>
      <c r="B17" s="10">
        <v>0.18060000000000001</v>
      </c>
      <c r="C17" s="11">
        <f t="shared" si="2"/>
        <v>5.537098560354374E-2</v>
      </c>
      <c r="D17" s="11">
        <f t="shared" si="3"/>
        <v>0.16611295681063121</v>
      </c>
      <c r="E17" s="10">
        <f>((G17+H17)/92)/1000</f>
        <v>0.01</v>
      </c>
      <c r="F17" s="10">
        <f t="shared" si="6"/>
        <v>0.03</v>
      </c>
      <c r="G17" s="12">
        <f>(10000*92)/1000</f>
        <v>920</v>
      </c>
      <c r="H17" s="12">
        <f>(0*92)/10000</f>
        <v>0</v>
      </c>
      <c r="I17" s="13"/>
      <c r="J17" s="13" t="s">
        <v>118</v>
      </c>
      <c r="K17" s="12">
        <f>(0*92)/1000</f>
        <v>0</v>
      </c>
      <c r="L17" s="12">
        <f>(30000*365)/1000</f>
        <v>10950</v>
      </c>
      <c r="M17" s="13"/>
      <c r="N17" s="13" t="s">
        <v>119</v>
      </c>
    </row>
    <row r="18" spans="1:14" x14ac:dyDescent="0.3">
      <c r="A18" s="9" t="s">
        <v>29</v>
      </c>
      <c r="B18" s="10">
        <v>7.4899999999999994E-2</v>
      </c>
      <c r="C18" s="11">
        <f>E18/B18</f>
        <v>0</v>
      </c>
      <c r="D18" s="11">
        <f t="shared" si="3"/>
        <v>0</v>
      </c>
      <c r="E18" s="10">
        <f>((G18+H18)/184)/100</f>
        <v>0</v>
      </c>
      <c r="F18" s="10">
        <f t="shared" si="6"/>
        <v>0</v>
      </c>
      <c r="G18" s="12">
        <f>(0*92)/1000</f>
        <v>0</v>
      </c>
      <c r="H18" s="12">
        <f>(0*92)/1000</f>
        <v>0</v>
      </c>
      <c r="I18" s="13"/>
      <c r="J18" s="13"/>
      <c r="K18" s="12">
        <v>0</v>
      </c>
      <c r="L18" s="12">
        <f>(0*1)/10000</f>
        <v>0</v>
      </c>
      <c r="M18" s="13"/>
      <c r="N18" s="13"/>
    </row>
    <row r="19" spans="1:14" x14ac:dyDescent="0.3">
      <c r="A19" s="9" t="s">
        <v>30</v>
      </c>
      <c r="B19" s="10">
        <v>0.10072</v>
      </c>
      <c r="C19" s="11">
        <f t="shared" si="2"/>
        <v>0</v>
      </c>
      <c r="D19" s="11">
        <f t="shared" si="3"/>
        <v>0</v>
      </c>
      <c r="E19" s="10">
        <f>((G19+H19)/184)/100</f>
        <v>0</v>
      </c>
      <c r="F19" s="10">
        <f t="shared" si="6"/>
        <v>0</v>
      </c>
      <c r="G19" s="12">
        <f>(0*92)/1000</f>
        <v>0</v>
      </c>
      <c r="H19" s="12">
        <f>(0*92)/1000</f>
        <v>0</v>
      </c>
      <c r="I19" s="13"/>
      <c r="J19" s="13"/>
      <c r="K19" s="12">
        <v>0</v>
      </c>
      <c r="L19" s="12">
        <v>0</v>
      </c>
      <c r="M19" s="13"/>
      <c r="N19" s="13"/>
    </row>
    <row r="20" spans="1:14" x14ac:dyDescent="0.3">
      <c r="A20" s="9" t="s">
        <v>32</v>
      </c>
      <c r="B20" s="10">
        <v>0.54408000000000001</v>
      </c>
      <c r="C20" s="11">
        <f t="shared" si="2"/>
        <v>0</v>
      </c>
      <c r="D20" s="11">
        <f t="shared" si="3"/>
        <v>0</v>
      </c>
      <c r="E20" s="10">
        <f t="shared" ref="E20:E26" si="7">((G20+H20)/92)/1000</f>
        <v>0</v>
      </c>
      <c r="F20" s="10">
        <f t="shared" si="6"/>
        <v>0</v>
      </c>
      <c r="G20" s="12">
        <v>0</v>
      </c>
      <c r="H20" s="12">
        <v>0</v>
      </c>
      <c r="I20" s="13"/>
      <c r="J20" s="13"/>
      <c r="K20" s="12">
        <v>0</v>
      </c>
      <c r="L20" s="12">
        <v>0</v>
      </c>
      <c r="M20" s="13"/>
      <c r="N20" s="13"/>
    </row>
    <row r="21" spans="1:14" x14ac:dyDescent="0.3">
      <c r="A21" s="9" t="s">
        <v>33</v>
      </c>
      <c r="B21" s="10">
        <v>0.19739999999999999</v>
      </c>
      <c r="C21" s="11">
        <f t="shared" si="2"/>
        <v>0.35460992907801425</v>
      </c>
      <c r="D21" s="11">
        <f t="shared" si="3"/>
        <v>0.13035905122760266</v>
      </c>
      <c r="E21" s="10">
        <f t="shared" si="7"/>
        <v>7.0000000000000007E-2</v>
      </c>
      <c r="F21" s="10">
        <f t="shared" si="6"/>
        <v>2.5732876712328767E-2</v>
      </c>
      <c r="G21" s="12">
        <f>(35000*92)/1000</f>
        <v>3220</v>
      </c>
      <c r="H21" s="12">
        <f>(35000*92)/1000</f>
        <v>3220</v>
      </c>
      <c r="I21" s="13">
        <v>76.94</v>
      </c>
      <c r="J21" s="13" t="s">
        <v>120</v>
      </c>
      <c r="K21" s="12">
        <f>(12500*365)/1000</f>
        <v>4562.5</v>
      </c>
      <c r="L21" s="12">
        <f>(52500*92)/1000</f>
        <v>4830</v>
      </c>
      <c r="M21" s="13">
        <v>73.69</v>
      </c>
      <c r="N21" s="13" t="s">
        <v>121</v>
      </c>
    </row>
    <row r="22" spans="1:14" x14ac:dyDescent="0.3">
      <c r="A22" s="9" t="s">
        <v>34</v>
      </c>
      <c r="B22" s="10">
        <v>0.37219999999999998</v>
      </c>
      <c r="C22" s="11">
        <f t="shared" si="2"/>
        <v>0</v>
      </c>
      <c r="D22" s="11">
        <f t="shared" si="3"/>
        <v>0</v>
      </c>
      <c r="E22" s="10">
        <f t="shared" si="7"/>
        <v>0</v>
      </c>
      <c r="F22" s="10">
        <f t="shared" si="6"/>
        <v>0</v>
      </c>
      <c r="G22" s="12">
        <v>0</v>
      </c>
      <c r="H22" s="12">
        <v>0</v>
      </c>
      <c r="I22" s="13"/>
      <c r="J22" s="13"/>
      <c r="K22" s="12">
        <v>0</v>
      </c>
      <c r="L22" s="12">
        <v>0</v>
      </c>
      <c r="M22" s="13"/>
      <c r="N22" s="13"/>
    </row>
    <row r="23" spans="1:14" x14ac:dyDescent="0.3">
      <c r="A23" s="9" t="s">
        <v>36</v>
      </c>
      <c r="B23" s="10">
        <v>6.5000000000000002E-2</v>
      </c>
      <c r="C23" s="11">
        <f t="shared" si="2"/>
        <v>0.29381270903010037</v>
      </c>
      <c r="D23" s="11">
        <f t="shared" si="3"/>
        <v>0.20665964172813486</v>
      </c>
      <c r="E23" s="10">
        <f t="shared" si="7"/>
        <v>1.9097826086956524E-2</v>
      </c>
      <c r="F23" s="10">
        <f t="shared" si="6"/>
        <v>1.3432876712328767E-2</v>
      </c>
      <c r="G23" s="12">
        <f>(837000+920000)/1000</f>
        <v>1757</v>
      </c>
      <c r="H23" s="12">
        <f>(0*92)/1000</f>
        <v>0</v>
      </c>
      <c r="I23" s="13">
        <v>76.69</v>
      </c>
      <c r="J23" s="13"/>
      <c r="K23" s="12">
        <f>(910000)/1000</f>
        <v>910</v>
      </c>
      <c r="L23" s="12">
        <f>(3993000)/1000</f>
        <v>3993</v>
      </c>
      <c r="M23" s="13">
        <v>85.5</v>
      </c>
      <c r="N23" s="13" t="s">
        <v>122</v>
      </c>
    </row>
    <row r="24" spans="1:14" x14ac:dyDescent="0.3">
      <c r="A24" s="9" t="s">
        <v>65</v>
      </c>
      <c r="B24" s="10">
        <v>4.3999999999999997E-2</v>
      </c>
      <c r="C24" s="11">
        <f>E24/B24</f>
        <v>0.90192687747035571</v>
      </c>
      <c r="D24" s="11">
        <f>F24/B24</f>
        <v>1.1521170610211706</v>
      </c>
      <c r="E24" s="10">
        <f t="shared" si="7"/>
        <v>3.9684782608695651E-2</v>
      </c>
      <c r="F24" s="10">
        <f t="shared" si="6"/>
        <v>5.0693150684931507E-2</v>
      </c>
      <c r="G24" s="12">
        <f>(2760000)/1000</f>
        <v>2760</v>
      </c>
      <c r="H24" s="12">
        <f>(891000)/1000</f>
        <v>891</v>
      </c>
      <c r="I24" s="13">
        <v>75.819999999999993</v>
      </c>
      <c r="J24" s="13" t="s">
        <v>123</v>
      </c>
      <c r="K24" s="12">
        <f>(18286000)/1000</f>
        <v>18286</v>
      </c>
      <c r="L24" s="12">
        <f>(217000)/1000</f>
        <v>217</v>
      </c>
      <c r="M24" s="13">
        <v>75.38</v>
      </c>
      <c r="N24" s="13" t="s">
        <v>124</v>
      </c>
    </row>
    <row r="25" spans="1:14" x14ac:dyDescent="0.3">
      <c r="A25" s="9" t="s">
        <v>40</v>
      </c>
      <c r="B25" s="10">
        <v>1.4E-2</v>
      </c>
      <c r="C25" s="11">
        <f t="shared" si="2"/>
        <v>0</v>
      </c>
      <c r="D25" s="11">
        <f t="shared" si="3"/>
        <v>0</v>
      </c>
      <c r="E25" s="10">
        <f t="shared" si="7"/>
        <v>0</v>
      </c>
      <c r="F25" s="10">
        <f t="shared" si="6"/>
        <v>0</v>
      </c>
      <c r="G25" s="12">
        <f>(0)/1000</f>
        <v>0</v>
      </c>
      <c r="H25" s="12">
        <f>(0)/1000</f>
        <v>0</v>
      </c>
      <c r="I25" s="13"/>
      <c r="J25" s="13"/>
      <c r="K25" s="12">
        <f>(0)/1000</f>
        <v>0</v>
      </c>
      <c r="L25" s="12">
        <f>(0)/1000</f>
        <v>0</v>
      </c>
      <c r="M25" s="13"/>
      <c r="N25" s="13"/>
    </row>
    <row r="26" spans="1:14" x14ac:dyDescent="0.3">
      <c r="A26" s="9" t="s">
        <v>41</v>
      </c>
      <c r="B26" s="10">
        <v>0.05</v>
      </c>
      <c r="C26" s="11">
        <f t="shared" si="2"/>
        <v>0.58051999999999992</v>
      </c>
      <c r="D26" s="11">
        <f>F26/B26</f>
        <v>0.33845616438356158</v>
      </c>
      <c r="E26" s="10">
        <f t="shared" si="7"/>
        <v>2.9026E-2</v>
      </c>
      <c r="F26" s="10">
        <f t="shared" si="6"/>
        <v>1.6922808219178079E-2</v>
      </c>
      <c r="G26" s="12">
        <f>(12000*92)/1000</f>
        <v>1104</v>
      </c>
      <c r="H26" s="12">
        <f>((7826+9200)*92)/1000</f>
        <v>1566.3920000000001</v>
      </c>
      <c r="I26" s="13">
        <v>75.25</v>
      </c>
      <c r="J26" s="13" t="s">
        <v>125</v>
      </c>
      <c r="K26" s="12">
        <f>(16125*365)/1000</f>
        <v>5885.625</v>
      </c>
      <c r="L26" s="12">
        <f>(3200*91)/1000</f>
        <v>291.2</v>
      </c>
      <c r="M26" s="13">
        <v>74.489999999999995</v>
      </c>
      <c r="N26" s="13" t="s">
        <v>126</v>
      </c>
    </row>
    <row r="27" spans="1:14" x14ac:dyDescent="0.3">
      <c r="A27" s="15" t="s">
        <v>42</v>
      </c>
      <c r="B27" s="16">
        <f>SUM(B3:B26)</f>
        <v>6.0976300000000005</v>
      </c>
      <c r="C27" s="17">
        <f>E27/B27</f>
        <v>9.0152765340261565E-2</v>
      </c>
      <c r="D27" s="18">
        <f>F27/B27</f>
        <v>6.4388876419288782E-2</v>
      </c>
      <c r="E27" s="19">
        <f>((G27+H27)/92)/1000</f>
        <v>0.54971820652173919</v>
      </c>
      <c r="F27" s="20">
        <f>((K27+L27)/365)/1000</f>
        <v>0.39261954452054787</v>
      </c>
      <c r="G27" s="21">
        <f>SUM(G3:G26)</f>
        <v>15847.812</v>
      </c>
      <c r="H27" s="21">
        <f>SUM(H3:H26)</f>
        <v>34726.262999999999</v>
      </c>
      <c r="I27" s="22">
        <f>AVERAGE(I3:I26)</f>
        <v>71.415714285714287</v>
      </c>
      <c r="J27" s="22"/>
      <c r="K27" s="23">
        <f>SUM(K3:K26)</f>
        <v>44246.412499999999</v>
      </c>
      <c r="L27" s="23">
        <f>SUM(L3:L26)</f>
        <v>99059.721249999988</v>
      </c>
      <c r="M27" s="24">
        <f>AVERAGE(M3:M26)</f>
        <v>76.832857142857137</v>
      </c>
      <c r="N27" s="24"/>
    </row>
    <row r="31" spans="1:14" x14ac:dyDescent="0.3">
      <c r="G31" s="26"/>
    </row>
    <row r="32" spans="1:14" x14ac:dyDescent="0.3">
      <c r="G32" s="26"/>
    </row>
  </sheetData>
  <pageMargins left="0.7" right="0.7" top="0.75" bottom="0.75" header="0.3" footer="0.3"/>
  <ignoredErrors>
    <ignoredError sqref="F12 F10 G18 G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NG Producer Hedges Q22023</vt:lpstr>
      <vt:lpstr>NG Producer Hedges Q32023</vt:lpstr>
      <vt:lpstr>Oil Producer Hedges Q32023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Franjie</dc:creator>
  <cp:lastModifiedBy>Tony Franjie</cp:lastModifiedBy>
  <dcterms:created xsi:type="dcterms:W3CDTF">2023-10-13T21:04:52Z</dcterms:created>
  <dcterms:modified xsi:type="dcterms:W3CDTF">2024-01-12T03:01:07Z</dcterms:modified>
</cp:coreProperties>
</file>