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05" windowWidth="13515" windowHeight="8955" tabRatio="731" activeTab="1"/>
  </bookViews>
  <sheets>
    <sheet name="Investment Analysis Financing" sheetId="1" r:id="rId1"/>
    <sheet name="Investment Analysis All Cash" sheetId="2" r:id="rId2"/>
  </sheets>
  <definedNames>
    <definedName name="_xlnm.Print_Area" localSheetId="1">'Investment Analysis All Cash'!$A$1:$J$62</definedName>
    <definedName name="_xlnm.Print_Area" localSheetId="0">'Investment Analysis Financing'!$A$1:$J$67</definedName>
  </definedNames>
  <calcPr fullCalcOnLoad="1"/>
</workbook>
</file>

<file path=xl/sharedStrings.xml><?xml version="1.0" encoding="utf-8"?>
<sst xmlns="http://schemas.openxmlformats.org/spreadsheetml/2006/main" count="139" uniqueCount="64">
  <si>
    <t>Home Cost:</t>
  </si>
  <si>
    <t>Construction</t>
  </si>
  <si>
    <t>Property Square Footage:</t>
  </si>
  <si>
    <t>Market Value Per square foot</t>
  </si>
  <si>
    <t>Title insurance</t>
  </si>
  <si>
    <t>Appraisal / Survey</t>
  </si>
  <si>
    <t>Survey</t>
  </si>
  <si>
    <t>Appraisal</t>
  </si>
  <si>
    <t>Current assessed value</t>
  </si>
  <si>
    <t>Estimated annual insurance</t>
  </si>
  <si>
    <t>Rental Income</t>
  </si>
  <si>
    <t>Asking:</t>
  </si>
  <si>
    <t>Offer:</t>
  </si>
  <si>
    <t>% Asking $</t>
  </si>
  <si>
    <t xml:space="preserve"> </t>
  </si>
  <si>
    <t xml:space="preserve">        % of Income</t>
  </si>
  <si>
    <t>ANNUAL NET SPENDABLE INCOME</t>
  </si>
  <si>
    <t xml:space="preserve">        % of Investment</t>
  </si>
  <si>
    <t xml:space="preserve">        Years Depreciated</t>
  </si>
  <si>
    <t>TAX SHELTER CASH VALUE</t>
  </si>
  <si>
    <t>Tax Bracket</t>
  </si>
  <si>
    <t>TOTAL RETURN ON INVESTMENT</t>
  </si>
  <si>
    <t>HOA Dues</t>
  </si>
  <si>
    <t>INVESTMENT</t>
  </si>
  <si>
    <t>Investment</t>
  </si>
  <si>
    <t>monthly cash flow</t>
  </si>
  <si>
    <t>GB</t>
  </si>
  <si>
    <t>Brick</t>
  </si>
  <si>
    <t>Escrow fees / recording fees, etc</t>
  </si>
  <si>
    <t>Anticipated cost of improvements</t>
  </si>
  <si>
    <t>Total Cost of Acquisition &amp; Construction</t>
  </si>
  <si>
    <t>TOTAL YEARLY BENEFITS</t>
  </si>
  <si>
    <t>Recent tax rate</t>
  </si>
  <si>
    <t>Recent annual taxes</t>
  </si>
  <si>
    <t>Monthly taxes and insurance</t>
  </si>
  <si>
    <t>Analysis of Monthly Cash Flow:</t>
  </si>
  <si>
    <t>Estimated Monthly Cash Flow</t>
  </si>
  <si>
    <t>Recent Tax Assessed Value</t>
  </si>
  <si>
    <t>Exterior, Year Built, Beds Baths Garages</t>
  </si>
  <si>
    <t>Cost as a percent of Tax Assessed Value</t>
  </si>
  <si>
    <t>Insurance (12 months)</t>
  </si>
  <si>
    <t>DEPRECIATION… Home 80% Land 20%</t>
  </si>
  <si>
    <t>TOTAL ANNUAL EXPENSES</t>
  </si>
  <si>
    <t>DISCOUNT FROM TAX ASSESSED VALUE</t>
  </si>
  <si>
    <t>Vacancy 5%</t>
  </si>
  <si>
    <t>Maintenance and repair 5%</t>
  </si>
  <si>
    <t>Assumes No Financing</t>
  </si>
  <si>
    <t>Property management fee 8%</t>
  </si>
  <si>
    <t>Prepaid Expenses</t>
  </si>
  <si>
    <t>APPRECIATION PROJECTION 3%</t>
  </si>
  <si>
    <t>Anticipated cost of Construction Improvements</t>
  </si>
  <si>
    <t>Anticipated Loan Amount</t>
  </si>
  <si>
    <t>Points</t>
  </si>
  <si>
    <t>Processing / Underwriting</t>
  </si>
  <si>
    <t>Insurance (15 months)</t>
  </si>
  <si>
    <t>Property Taxes (2 months)</t>
  </si>
  <si>
    <t>Loan Amount</t>
  </si>
  <si>
    <t>Estimated monthly mortgage pmt (PITI)</t>
  </si>
  <si>
    <t>Monthly mortgage payment</t>
  </si>
  <si>
    <t>Anticipated interest rate</t>
  </si>
  <si>
    <t>PRINCIPAL REPAYMENT</t>
  </si>
  <si>
    <t>Assumes Financing</t>
  </si>
  <si>
    <t>3/2/2</t>
  </si>
  <si>
    <t>2005 YB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</si>
</sst>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%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[$-409]dddd\,\ mmmm\ dd\,\ yyyy"/>
    <numFmt numFmtId="170" formatCode="m/d/yy;@"/>
    <numFmt numFmtId="171" formatCode="m/d/yyyy;@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mmmm\ d\,\ yyyy;@"/>
    <numFmt numFmtId="178" formatCode="[$-409]h:mm:ss\ AM/PM"/>
    <numFmt numFmtId="179" formatCode="#,##0.0_);\(#,##0.0\)"/>
    <numFmt numFmtId="180" formatCode="General_)"/>
    <numFmt numFmtId="181" formatCode="&quot;$&quot;#,##0.000_);\(&quot;$&quot;#,##0.000\)"/>
    <numFmt numFmtId="182" formatCode="&quot;$&quot;#,##0"/>
    <numFmt numFmtId="183" formatCode="_(* #,##0.0_);_(* \(#,##0.0\);_(* &quot;-&quot;??_);_(@_)"/>
    <numFmt numFmtId="184" formatCode="_(* #,##0_);_(* \(#,##0\);_(* &quot;-&quot;??_);_(@_)"/>
    <numFmt numFmtId="185" formatCode="_(&quot;$&quot;* #,##0_);_(&quot;$&quot;* \(#,##0\);_(&quot;$&quot;* &quot;-&quot;??_);_(@_)"/>
    <numFmt numFmtId="186" formatCode="0.0%"/>
    <numFmt numFmtId="187" formatCode="&quot;$&quot;#,##0.0_);\(&quot;$&quot;#,##0.0\)"/>
  </numFmts>
  <fonts count="21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6"/>
      <name val="Arial"/>
      <family val="2"/>
    </font>
    <font>
      <sz val="10"/>
      <color indexed="12"/>
      <name val="Courier"/>
      <family val="0"/>
    </font>
    <font>
      <sz val="10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2"/>
      <color indexed="12"/>
      <name val="Arial"/>
      <family val="2"/>
    </font>
    <font>
      <b/>
      <sz val="18"/>
      <color indexed="12"/>
      <name val="Arial"/>
      <family val="2"/>
    </font>
    <font>
      <sz val="10"/>
      <color indexed="23"/>
      <name val="Arial Unicode MS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4">
    <xf numFmtId="37" fontId="0" fillId="0" borderId="0" xfId="0" applyAlignment="1">
      <alignment/>
    </xf>
    <xf numFmtId="37" fontId="0" fillId="0" borderId="0" xfId="0" applyFont="1" applyAlignment="1">
      <alignment horizontal="center"/>
    </xf>
    <xf numFmtId="37" fontId="9" fillId="0" borderId="0" xfId="0" applyFont="1" applyAlignment="1" applyProtection="1">
      <alignment/>
      <protection locked="0"/>
    </xf>
    <xf numFmtId="37" fontId="0" fillId="0" borderId="0" xfId="0" applyFont="1" applyAlignment="1">
      <alignment/>
    </xf>
    <xf numFmtId="37" fontId="10" fillId="0" borderId="0" xfId="0" applyFont="1" applyAlignment="1" applyProtection="1">
      <alignment/>
      <protection locked="0"/>
    </xf>
    <xf numFmtId="37" fontId="0" fillId="0" borderId="0" xfId="0" applyBorder="1" applyAlignment="1">
      <alignment/>
    </xf>
    <xf numFmtId="37" fontId="2" fillId="0" borderId="0" xfId="0" applyFont="1" applyBorder="1" applyAlignment="1">
      <alignment/>
    </xf>
    <xf numFmtId="37" fontId="2" fillId="0" borderId="1" xfId="0" applyFont="1" applyBorder="1" applyAlignment="1">
      <alignment/>
    </xf>
    <xf numFmtId="7" fontId="2" fillId="0" borderId="0" xfId="0" applyNumberFormat="1" applyFont="1" applyBorder="1" applyAlignment="1" applyProtection="1">
      <alignment/>
      <protection/>
    </xf>
    <xf numFmtId="37" fontId="5" fillId="0" borderId="1" xfId="0" applyFont="1" applyBorder="1" applyAlignment="1">
      <alignment/>
    </xf>
    <xf numFmtId="37" fontId="11" fillId="0" borderId="0" xfId="0" applyFont="1" applyBorder="1" applyAlignment="1">
      <alignment horizontal="centerContinuous"/>
    </xf>
    <xf numFmtId="37" fontId="2" fillId="0" borderId="0" xfId="0" applyFont="1" applyBorder="1" applyAlignment="1">
      <alignment horizontal="centerContinuous"/>
    </xf>
    <xf numFmtId="37" fontId="2" fillId="0" borderId="0" xfId="0" applyFont="1" applyBorder="1" applyAlignment="1">
      <alignment horizontal="center"/>
    </xf>
    <xf numFmtId="5" fontId="2" fillId="0" borderId="0" xfId="0" applyNumberFormat="1" applyFont="1" applyBorder="1" applyAlignment="1">
      <alignment horizontal="center"/>
    </xf>
    <xf numFmtId="5" fontId="2" fillId="0" borderId="0" xfId="0" applyNumberFormat="1" applyFont="1" applyBorder="1" applyAlignment="1" applyProtection="1">
      <alignment/>
      <protection/>
    </xf>
    <xf numFmtId="5" fontId="2" fillId="0" borderId="0" xfId="0" applyNumberFormat="1" applyFont="1" applyBorder="1" applyAlignment="1">
      <alignment/>
    </xf>
    <xf numFmtId="37" fontId="5" fillId="0" borderId="0" xfId="0" applyFont="1" applyBorder="1" applyAlignment="1">
      <alignment/>
    </xf>
    <xf numFmtId="37" fontId="5" fillId="0" borderId="0" xfId="0" applyFont="1" applyBorder="1" applyAlignment="1">
      <alignment horizontal="center"/>
    </xf>
    <xf numFmtId="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 horizontal="left"/>
      <protection/>
    </xf>
    <xf numFmtId="9" fontId="2" fillId="0" borderId="0" xfId="0" applyNumberFormat="1" applyFont="1" applyBorder="1" applyAlignment="1" applyProtection="1">
      <alignment/>
      <protection/>
    </xf>
    <xf numFmtId="37" fontId="13" fillId="0" borderId="0" xfId="0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13" fillId="0" borderId="0" xfId="0" applyFont="1" applyBorder="1" applyAlignment="1">
      <alignment/>
    </xf>
    <xf numFmtId="9" fontId="5" fillId="0" borderId="0" xfId="0" applyNumberFormat="1" applyFont="1" applyBorder="1" applyAlignment="1" applyProtection="1">
      <alignment horizontal="left"/>
      <protection/>
    </xf>
    <xf numFmtId="9" fontId="5" fillId="0" borderId="0" xfId="0" applyNumberFormat="1" applyFont="1" applyBorder="1" applyAlignment="1" applyProtection="1">
      <alignment/>
      <protection/>
    </xf>
    <xf numFmtId="5" fontId="2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 applyProtection="1">
      <alignment horizontal="right"/>
      <protection locked="0"/>
    </xf>
    <xf numFmtId="180" fontId="5" fillId="0" borderId="0" xfId="0" applyNumberFormat="1" applyFont="1" applyBorder="1" applyAlignment="1" applyProtection="1">
      <alignment/>
      <protection locked="0"/>
    </xf>
    <xf numFmtId="9" fontId="15" fillId="0" borderId="0" xfId="0" applyNumberFormat="1" applyFont="1" applyBorder="1" applyAlignment="1" applyProtection="1" quotePrefix="1">
      <alignment horizontal="left"/>
      <protection/>
    </xf>
    <xf numFmtId="5" fontId="14" fillId="0" borderId="0" xfId="0" applyNumberFormat="1" applyFont="1" applyBorder="1" applyAlignment="1" applyProtection="1">
      <alignment/>
      <protection locked="0"/>
    </xf>
    <xf numFmtId="9" fontId="2" fillId="0" borderId="0" xfId="0" applyNumberFormat="1" applyFont="1" applyBorder="1" applyAlignment="1" applyProtection="1">
      <alignment/>
      <protection locked="0"/>
    </xf>
    <xf numFmtId="37" fontId="5" fillId="0" borderId="1" xfId="0" applyFont="1" applyBorder="1" applyAlignment="1" applyProtection="1">
      <alignment horizontal="left"/>
      <protection/>
    </xf>
    <xf numFmtId="37" fontId="5" fillId="0" borderId="1" xfId="0" applyFont="1" applyBorder="1" applyAlignment="1">
      <alignment horizontal="center"/>
    </xf>
    <xf numFmtId="9" fontId="2" fillId="0" borderId="1" xfId="0" applyNumberFormat="1" applyFont="1" applyBorder="1" applyAlignment="1" applyProtection="1">
      <alignment/>
      <protection/>
    </xf>
    <xf numFmtId="37" fontId="16" fillId="0" borderId="0" xfId="0" applyFont="1" applyBorder="1" applyAlignment="1">
      <alignment horizontal="left"/>
    </xf>
    <xf numFmtId="37" fontId="15" fillId="0" borderId="0" xfId="0" applyFont="1" applyBorder="1" applyAlignment="1" applyProtection="1">
      <alignment horizontal="left"/>
      <protection/>
    </xf>
    <xf numFmtId="5" fontId="2" fillId="0" borderId="0" xfId="0" applyNumberFormat="1" applyFont="1" applyFill="1" applyBorder="1" applyAlignment="1" applyProtection="1">
      <alignment/>
      <protection/>
    </xf>
    <xf numFmtId="10" fontId="2" fillId="0" borderId="0" xfId="0" applyNumberFormat="1" applyFont="1" applyFill="1" applyBorder="1" applyAlignment="1" applyProtection="1">
      <alignment horizontal="center"/>
      <protection/>
    </xf>
    <xf numFmtId="7" fontId="2" fillId="0" borderId="0" xfId="0" applyNumberFormat="1" applyFont="1" applyBorder="1" applyAlignment="1">
      <alignment/>
    </xf>
    <xf numFmtId="7" fontId="2" fillId="0" borderId="0" xfId="0" applyNumberFormat="1" applyFont="1" applyFill="1" applyBorder="1" applyAlignment="1">
      <alignment/>
    </xf>
    <xf numFmtId="37" fontId="5" fillId="0" borderId="0" xfId="0" applyFont="1" applyBorder="1" applyAlignment="1">
      <alignment/>
    </xf>
    <xf numFmtId="182" fontId="17" fillId="0" borderId="0" xfId="17" applyNumberFormat="1" applyFont="1" applyBorder="1" applyAlignment="1">
      <alignment horizontal="left"/>
    </xf>
    <xf numFmtId="37" fontId="17" fillId="0" borderId="0" xfId="0" applyFont="1" applyBorder="1" applyAlignment="1">
      <alignment horizontal="left"/>
    </xf>
    <xf numFmtId="182" fontId="16" fillId="0" borderId="0" xfId="17" applyNumberFormat="1" applyFont="1" applyBorder="1" applyAlignment="1">
      <alignment horizontal="left"/>
    </xf>
    <xf numFmtId="37" fontId="12" fillId="0" borderId="0" xfId="0" applyFont="1" applyBorder="1" applyAlignment="1">
      <alignment/>
    </xf>
    <xf numFmtId="37" fontId="4" fillId="0" borderId="0" xfId="0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37" fontId="12" fillId="0" borderId="0" xfId="0" applyFont="1" applyBorder="1" applyAlignment="1">
      <alignment/>
    </xf>
    <xf numFmtId="37" fontId="5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>
      <alignment horizontal="left"/>
    </xf>
    <xf numFmtId="37" fontId="2" fillId="0" borderId="2" xfId="0" applyFont="1" applyBorder="1" applyAlignment="1">
      <alignment/>
    </xf>
    <xf numFmtId="37" fontId="0" fillId="0" borderId="2" xfId="0" applyBorder="1" applyAlignment="1">
      <alignment/>
    </xf>
    <xf numFmtId="5" fontId="2" fillId="0" borderId="0" xfId="17" applyNumberFormat="1" applyFont="1" applyBorder="1" applyAlignment="1">
      <alignment/>
    </xf>
    <xf numFmtId="185" fontId="2" fillId="0" borderId="0" xfId="17" applyNumberFormat="1" applyFont="1" applyBorder="1" applyAlignment="1">
      <alignment/>
    </xf>
    <xf numFmtId="182" fontId="2" fillId="0" borderId="0" xfId="0" applyNumberFormat="1" applyFont="1" applyBorder="1" applyAlignment="1" applyProtection="1">
      <alignment/>
      <protection locked="0"/>
    </xf>
    <xf numFmtId="9" fontId="2" fillId="0" borderId="0" xfId="0" applyNumberFormat="1" applyFont="1" applyBorder="1" applyAlignment="1">
      <alignment/>
    </xf>
    <xf numFmtId="5" fontId="2" fillId="0" borderId="0" xfId="0" applyNumberFormat="1" applyFont="1" applyAlignment="1">
      <alignment/>
    </xf>
    <xf numFmtId="5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/>
    </xf>
    <xf numFmtId="37" fontId="20" fillId="0" borderId="0" xfId="0" applyFont="1" applyAlignment="1">
      <alignment/>
    </xf>
    <xf numFmtId="8" fontId="2" fillId="0" borderId="0" xfId="0" applyNumberFormat="1" applyFont="1" applyBorder="1" applyAlignment="1" applyProtection="1">
      <alignment/>
      <protection/>
    </xf>
    <xf numFmtId="1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2057400</xdr:colOff>
      <xdr:row>0</xdr:row>
      <xdr:rowOff>66675</xdr:rowOff>
    </xdr:from>
    <xdr:to>
      <xdr:col>7</xdr:col>
      <xdr:colOff>114300</xdr:colOff>
      <xdr:row>2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3200400" y="66675"/>
          <a:ext cx="46863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4841 Kingfisher Ln., Mesquite TX.
Investment Analysis</a:t>
          </a:r>
        </a:p>
      </xdr:txBody>
    </xdr:sp>
    <xdr:clientData/>
  </xdr:twoCellAnchor>
  <xdr:twoCellAnchor>
    <xdr:from>
      <xdr:col>10</xdr:col>
      <xdr:colOff>0</xdr:colOff>
      <xdr:row>5</xdr:row>
      <xdr:rowOff>76200</xdr:rowOff>
    </xdr:from>
    <xdr:to>
      <xdr:col>10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0639425" y="1304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10639425" y="3648075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114300</xdr:rowOff>
    </xdr:from>
    <xdr:to>
      <xdr:col>10</xdr:col>
      <xdr:colOff>0</xdr:colOff>
      <xdr:row>30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0639425" y="5981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39</xdr:row>
      <xdr:rowOff>161925</xdr:rowOff>
    </xdr:to>
    <xdr:sp>
      <xdr:nvSpPr>
        <xdr:cNvPr id="5" name="Line 5"/>
        <xdr:cNvSpPr>
          <a:spLocks/>
        </xdr:cNvSpPr>
      </xdr:nvSpPr>
      <xdr:spPr>
        <a:xfrm>
          <a:off x="10639425" y="723900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10639425" y="184785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18</xdr:row>
      <xdr:rowOff>104775</xdr:rowOff>
    </xdr:from>
    <xdr:to>
      <xdr:col>8</xdr:col>
      <xdr:colOff>514350</xdr:colOff>
      <xdr:row>19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8201025" y="3952875"/>
          <a:ext cx="942975" cy="257175"/>
        </a:xfrm>
        <a:prstGeom prst="wedgeRoundRectCallout">
          <a:avLst>
            <a:gd name="adj1" fmla="val -90402"/>
            <a:gd name="adj2" fmla="val 26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estimate</a:t>
          </a:r>
        </a:p>
      </xdr:txBody>
    </xdr:sp>
    <xdr:clientData/>
  </xdr:twoCellAnchor>
  <xdr:twoCellAnchor>
    <xdr:from>
      <xdr:col>7</xdr:col>
      <xdr:colOff>438150</xdr:colOff>
      <xdr:row>23</xdr:row>
      <xdr:rowOff>190500</xdr:rowOff>
    </xdr:from>
    <xdr:to>
      <xdr:col>8</xdr:col>
      <xdr:colOff>514350</xdr:colOff>
      <xdr:row>25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8210550" y="5057775"/>
          <a:ext cx="933450" cy="276225"/>
        </a:xfrm>
        <a:prstGeom prst="wedgeRoundRectCallout">
          <a:avLst>
            <a:gd name="adj1" fmla="val -119388"/>
            <a:gd name="adj2" fmla="val 22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estimate</a:t>
          </a:r>
        </a:p>
      </xdr:txBody>
    </xdr:sp>
    <xdr:clientData/>
  </xdr:twoCellAnchor>
  <xdr:twoCellAnchor>
    <xdr:from>
      <xdr:col>3</xdr:col>
      <xdr:colOff>2705100</xdr:colOff>
      <xdr:row>48</xdr:row>
      <xdr:rowOff>180975</xdr:rowOff>
    </xdr:from>
    <xdr:to>
      <xdr:col>5</xdr:col>
      <xdr:colOff>333375</xdr:colOff>
      <xdr:row>49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3848100" y="10477500"/>
          <a:ext cx="2200275" cy="247650"/>
        </a:xfrm>
        <a:prstGeom prst="borderCallout1">
          <a:avLst>
            <a:gd name="adj1" fmla="val -62986"/>
            <a:gd name="adj2" fmla="val 65384"/>
            <a:gd name="adj3" fmla="val 44805"/>
            <a:gd name="adj4" fmla="val 65384"/>
            <a:gd name="adj5" fmla="val -36148"/>
            <a:gd name="adj6" fmla="val 457694"/>
            <a:gd name="adj7" fmla="val -31819"/>
            <a:gd name="adj8" fmla="val 492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Also known as cash on cash return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2057400</xdr:colOff>
      <xdr:row>0</xdr:row>
      <xdr:rowOff>66675</xdr:rowOff>
    </xdr:from>
    <xdr:to>
      <xdr:col>7</xdr:col>
      <xdr:colOff>114300</xdr:colOff>
      <xdr:row>2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3200400" y="66675"/>
          <a:ext cx="46863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4841 Kingfisher Ln., Mesquite TX.
Investment Analysis
Deal Valuation Analysis
</a:t>
          </a:r>
        </a:p>
      </xdr:txBody>
    </xdr:sp>
    <xdr:clientData/>
  </xdr:twoCellAnchor>
  <xdr:twoCellAnchor>
    <xdr:from>
      <xdr:col>10</xdr:col>
      <xdr:colOff>0</xdr:colOff>
      <xdr:row>5</xdr:row>
      <xdr:rowOff>76200</xdr:rowOff>
    </xdr:from>
    <xdr:to>
      <xdr:col>10</xdr:col>
      <xdr:colOff>0</xdr:colOff>
      <xdr:row>7</xdr:row>
      <xdr:rowOff>0</xdr:rowOff>
    </xdr:to>
    <xdr:sp>
      <xdr:nvSpPr>
        <xdr:cNvPr id="2" name="Line 22"/>
        <xdr:cNvSpPr>
          <a:spLocks/>
        </xdr:cNvSpPr>
      </xdr:nvSpPr>
      <xdr:spPr>
        <a:xfrm>
          <a:off x="10639425" y="13049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28</xdr:row>
      <xdr:rowOff>0</xdr:rowOff>
    </xdr:to>
    <xdr:sp>
      <xdr:nvSpPr>
        <xdr:cNvPr id="3" name="Line 23"/>
        <xdr:cNvSpPr>
          <a:spLocks/>
        </xdr:cNvSpPr>
      </xdr:nvSpPr>
      <xdr:spPr>
        <a:xfrm>
          <a:off x="10639425" y="38481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114300</xdr:rowOff>
    </xdr:from>
    <xdr:to>
      <xdr:col>10</xdr:col>
      <xdr:colOff>0</xdr:colOff>
      <xdr:row>31</xdr:row>
      <xdr:rowOff>152400</xdr:rowOff>
    </xdr:to>
    <xdr:sp>
      <xdr:nvSpPr>
        <xdr:cNvPr id="4" name="Line 24"/>
        <xdr:cNvSpPr>
          <a:spLocks/>
        </xdr:cNvSpPr>
      </xdr:nvSpPr>
      <xdr:spPr>
        <a:xfrm>
          <a:off x="10639425" y="61817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37</xdr:row>
      <xdr:rowOff>161925</xdr:rowOff>
    </xdr:to>
    <xdr:sp>
      <xdr:nvSpPr>
        <xdr:cNvPr id="5" name="Line 25"/>
        <xdr:cNvSpPr>
          <a:spLocks/>
        </xdr:cNvSpPr>
      </xdr:nvSpPr>
      <xdr:spPr>
        <a:xfrm>
          <a:off x="10639425" y="678180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0</xdr:colOff>
      <xdr:row>18</xdr:row>
      <xdr:rowOff>0</xdr:rowOff>
    </xdr:to>
    <xdr:sp>
      <xdr:nvSpPr>
        <xdr:cNvPr id="6" name="Line 26"/>
        <xdr:cNvSpPr>
          <a:spLocks/>
        </xdr:cNvSpPr>
      </xdr:nvSpPr>
      <xdr:spPr>
        <a:xfrm>
          <a:off x="10639425" y="213360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19</xdr:row>
      <xdr:rowOff>104775</xdr:rowOff>
    </xdr:from>
    <xdr:to>
      <xdr:col>8</xdr:col>
      <xdr:colOff>514350</xdr:colOff>
      <xdr:row>20</xdr:row>
      <xdr:rowOff>152400</xdr:rowOff>
    </xdr:to>
    <xdr:sp>
      <xdr:nvSpPr>
        <xdr:cNvPr id="7" name="AutoShape 30"/>
        <xdr:cNvSpPr>
          <a:spLocks/>
        </xdr:cNvSpPr>
      </xdr:nvSpPr>
      <xdr:spPr>
        <a:xfrm>
          <a:off x="8201025" y="4152900"/>
          <a:ext cx="942975" cy="257175"/>
        </a:xfrm>
        <a:prstGeom prst="wedgeRoundRectCallout">
          <a:avLst>
            <a:gd name="adj1" fmla="val -90402"/>
            <a:gd name="adj2" fmla="val 26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estimate</a:t>
          </a:r>
        </a:p>
      </xdr:txBody>
    </xdr:sp>
    <xdr:clientData/>
  </xdr:twoCellAnchor>
  <xdr:twoCellAnchor>
    <xdr:from>
      <xdr:col>7</xdr:col>
      <xdr:colOff>438150</xdr:colOff>
      <xdr:row>25</xdr:row>
      <xdr:rowOff>190500</xdr:rowOff>
    </xdr:from>
    <xdr:to>
      <xdr:col>8</xdr:col>
      <xdr:colOff>609600</xdr:colOff>
      <xdr:row>27</xdr:row>
      <xdr:rowOff>38100</xdr:rowOff>
    </xdr:to>
    <xdr:sp>
      <xdr:nvSpPr>
        <xdr:cNvPr id="8" name="AutoShape 31"/>
        <xdr:cNvSpPr>
          <a:spLocks/>
        </xdr:cNvSpPr>
      </xdr:nvSpPr>
      <xdr:spPr>
        <a:xfrm>
          <a:off x="8210550" y="5457825"/>
          <a:ext cx="1028700" cy="247650"/>
        </a:xfrm>
        <a:prstGeom prst="wedgeRoundRectCallout">
          <a:avLst>
            <a:gd name="adj1" fmla="val -112962"/>
            <a:gd name="adj2" fmla="val -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estimate</a:t>
          </a:r>
        </a:p>
      </xdr:txBody>
    </xdr:sp>
    <xdr:clientData/>
  </xdr:twoCellAnchor>
  <xdr:twoCellAnchor>
    <xdr:from>
      <xdr:col>3</xdr:col>
      <xdr:colOff>2705100</xdr:colOff>
      <xdr:row>46</xdr:row>
      <xdr:rowOff>180975</xdr:rowOff>
    </xdr:from>
    <xdr:to>
      <xdr:col>5</xdr:col>
      <xdr:colOff>333375</xdr:colOff>
      <xdr:row>47</xdr:row>
      <xdr:rowOff>200025</xdr:rowOff>
    </xdr:to>
    <xdr:sp>
      <xdr:nvSpPr>
        <xdr:cNvPr id="9" name="AutoShape 32"/>
        <xdr:cNvSpPr>
          <a:spLocks/>
        </xdr:cNvSpPr>
      </xdr:nvSpPr>
      <xdr:spPr>
        <a:xfrm>
          <a:off x="3848100" y="10020300"/>
          <a:ext cx="2200275" cy="247650"/>
        </a:xfrm>
        <a:prstGeom prst="borderCallout1">
          <a:avLst>
            <a:gd name="adj1" fmla="val -62986"/>
            <a:gd name="adj2" fmla="val 65384"/>
            <a:gd name="adj3" fmla="val 44805"/>
            <a:gd name="adj4" fmla="val 65384"/>
            <a:gd name="adj5" fmla="val -36148"/>
            <a:gd name="adj6" fmla="val 457694"/>
            <a:gd name="adj7" fmla="val -31819"/>
            <a:gd name="adj8" fmla="val 492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Also known as cash on cash return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58"/>
    <pageSetUpPr fitToPage="1"/>
  </sheetPr>
  <dimension ref="A1:M71"/>
  <sheetViews>
    <sheetView defaultGridColor="0" colorId="22" workbookViewId="0" topLeftCell="A1">
      <selection activeCell="H43" sqref="H43"/>
    </sheetView>
  </sheetViews>
  <sheetFormatPr defaultColWidth="9.77734375" defaultRowHeight="15"/>
  <cols>
    <col min="1" max="1" width="6.77734375" style="0" customWidth="1"/>
    <col min="2" max="2" width="3.77734375" style="0" customWidth="1"/>
    <col min="3" max="3" width="2.77734375" style="0" customWidth="1"/>
    <col min="4" max="4" width="41.3359375" style="0" customWidth="1"/>
    <col min="5" max="5" width="11.99609375" style="0" bestFit="1" customWidth="1"/>
    <col min="6" max="6" width="11.77734375" style="1" bestFit="1" customWidth="1"/>
    <col min="7" max="7" width="12.21484375" style="0" customWidth="1"/>
    <col min="8" max="8" width="9.99609375" style="0" bestFit="1" customWidth="1"/>
    <col min="9" max="9" width="11.4453125" style="0" bestFit="1" customWidth="1"/>
    <col min="10" max="10" width="11.99609375" style="0" bestFit="1" customWidth="1"/>
  </cols>
  <sheetData>
    <row r="1" spans="1:10" ht="23.25">
      <c r="A1" s="42">
        <f>E28</f>
        <v>24550</v>
      </c>
      <c r="B1" s="43" t="s">
        <v>24</v>
      </c>
      <c r="C1" s="10"/>
      <c r="D1" s="11"/>
      <c r="E1" s="11"/>
      <c r="F1" s="12"/>
      <c r="G1" s="11"/>
      <c r="H1" s="11"/>
      <c r="I1" s="11"/>
      <c r="J1" s="11" t="s">
        <v>26</v>
      </c>
    </row>
    <row r="2" spans="1:10" ht="23.25">
      <c r="A2" s="44">
        <f>J45</f>
        <v>312.62230094003144</v>
      </c>
      <c r="B2" s="35" t="s">
        <v>25</v>
      </c>
      <c r="C2" s="10"/>
      <c r="D2" s="11"/>
      <c r="E2" s="11"/>
      <c r="F2" s="12"/>
      <c r="G2" s="11"/>
      <c r="H2" s="11"/>
      <c r="I2" s="11"/>
      <c r="J2" s="11"/>
    </row>
    <row r="3" spans="1:10" ht="11.25" customHeight="1">
      <c r="A3" s="6"/>
      <c r="B3" s="10"/>
      <c r="C3" s="10"/>
      <c r="D3" s="11"/>
      <c r="E3" s="11"/>
      <c r="F3" s="12"/>
      <c r="G3" s="11"/>
      <c r="H3" s="11"/>
      <c r="I3" s="11"/>
      <c r="J3" s="11"/>
    </row>
    <row r="4" spans="1:10" ht="23.25">
      <c r="A4" s="45" t="s">
        <v>61</v>
      </c>
      <c r="B4" s="6"/>
      <c r="C4" s="6"/>
      <c r="D4" s="6"/>
      <c r="E4" s="6"/>
      <c r="F4" s="12"/>
      <c r="G4" s="6"/>
      <c r="H4" s="6"/>
      <c r="I4" s="6"/>
      <c r="J4" s="46" t="s">
        <v>13</v>
      </c>
    </row>
    <row r="5" spans="1:10" ht="15.75">
      <c r="A5" s="6"/>
      <c r="B5" s="6" t="s">
        <v>0</v>
      </c>
      <c r="C5" s="6"/>
      <c r="D5" s="6"/>
      <c r="E5" s="12" t="s">
        <v>11</v>
      </c>
      <c r="F5" s="13">
        <v>94999</v>
      </c>
      <c r="G5" s="6"/>
      <c r="H5" s="12" t="s">
        <v>12</v>
      </c>
      <c r="I5" s="37">
        <v>89000</v>
      </c>
      <c r="J5" s="47">
        <f>+I5/F5</f>
        <v>0.936851966862809</v>
      </c>
    </row>
    <row r="6" spans="1:11" ht="15.75">
      <c r="A6" s="6"/>
      <c r="B6" s="6" t="s">
        <v>50</v>
      </c>
      <c r="C6" s="6"/>
      <c r="D6" s="6"/>
      <c r="E6" s="6"/>
      <c r="F6" s="12"/>
      <c r="G6" s="37">
        <v>8000</v>
      </c>
      <c r="H6" s="14"/>
      <c r="I6" s="6"/>
      <c r="J6" s="6"/>
      <c r="K6" s="5"/>
    </row>
    <row r="7" spans="1:11" ht="16.5" thickBot="1">
      <c r="A7" s="6"/>
      <c r="B7" s="6"/>
      <c r="C7" s="6"/>
      <c r="D7" s="6" t="s">
        <v>14</v>
      </c>
      <c r="E7" s="6"/>
      <c r="F7" s="12" t="s">
        <v>14</v>
      </c>
      <c r="G7" s="6"/>
      <c r="H7" s="6"/>
      <c r="I7" s="53">
        <f>SUM(G6:G6)</f>
        <v>8000</v>
      </c>
      <c r="J7" s="51"/>
      <c r="K7" s="5"/>
    </row>
    <row r="8" spans="1:11" ht="16.5" thickTop="1">
      <c r="A8" s="6"/>
      <c r="B8" s="6" t="s">
        <v>30</v>
      </c>
      <c r="C8" s="6"/>
      <c r="D8" s="6"/>
      <c r="E8" s="6"/>
      <c r="F8" s="12"/>
      <c r="G8" s="6"/>
      <c r="H8" s="6"/>
      <c r="I8" s="6"/>
      <c r="J8" s="14">
        <f>I5+I7</f>
        <v>97000</v>
      </c>
      <c r="K8" s="5"/>
    </row>
    <row r="9" spans="1:11" ht="15.75">
      <c r="A9" s="6"/>
      <c r="B9" s="6" t="s">
        <v>37</v>
      </c>
      <c r="C9" s="6"/>
      <c r="D9" s="6"/>
      <c r="E9" s="6"/>
      <c r="F9" s="12"/>
      <c r="G9" s="6"/>
      <c r="H9" s="6"/>
      <c r="I9" s="6"/>
      <c r="J9" s="37">
        <v>127460</v>
      </c>
      <c r="K9" s="5"/>
    </row>
    <row r="10" spans="1:11" ht="15.75">
      <c r="A10" s="6"/>
      <c r="B10" s="6" t="s">
        <v>2</v>
      </c>
      <c r="C10" s="6"/>
      <c r="D10" s="6"/>
      <c r="E10" s="50">
        <v>1728</v>
      </c>
      <c r="F10" s="12"/>
      <c r="G10" s="6"/>
      <c r="I10" s="6"/>
      <c r="J10" s="6"/>
      <c r="K10" s="5"/>
    </row>
    <row r="11" spans="1:11" ht="15.75">
      <c r="A11" s="6"/>
      <c r="B11" s="6" t="s">
        <v>3</v>
      </c>
      <c r="C11" s="6"/>
      <c r="D11" s="6"/>
      <c r="E11" s="6"/>
      <c r="F11" s="12"/>
      <c r="G11" s="6"/>
      <c r="H11" s="14">
        <f>J9/E10</f>
        <v>73.76157407407408</v>
      </c>
      <c r="I11" s="6"/>
      <c r="K11" s="5"/>
    </row>
    <row r="12" spans="1:11" ht="15.75">
      <c r="A12" s="6"/>
      <c r="B12" s="6" t="s">
        <v>38</v>
      </c>
      <c r="C12" s="6"/>
      <c r="D12" s="6"/>
      <c r="E12" s="6" t="s">
        <v>27</v>
      </c>
      <c r="F12" s="12" t="s">
        <v>63</v>
      </c>
      <c r="G12" s="63" t="s">
        <v>62</v>
      </c>
      <c r="H12" s="6"/>
      <c r="I12" s="6"/>
      <c r="K12" s="5"/>
    </row>
    <row r="13" spans="1:11" ht="15.75">
      <c r="A13" s="6"/>
      <c r="C13" s="6" t="s">
        <v>39</v>
      </c>
      <c r="D13" s="6"/>
      <c r="E13" s="6"/>
      <c r="F13" s="12"/>
      <c r="G13" s="6"/>
      <c r="H13" s="20">
        <f>J8/J9</f>
        <v>0.7610230660599404</v>
      </c>
      <c r="I13" s="6"/>
      <c r="K13" s="5"/>
    </row>
    <row r="14" spans="1:11" ht="15.75">
      <c r="A14" s="6"/>
      <c r="B14" s="6"/>
      <c r="C14" s="6"/>
      <c r="D14" s="6"/>
      <c r="E14" s="6"/>
      <c r="F14" s="12"/>
      <c r="G14" s="6"/>
      <c r="H14" s="6"/>
      <c r="I14" s="6"/>
      <c r="K14" s="5"/>
    </row>
    <row r="15" spans="1:11" ht="15.75">
      <c r="A15" s="6"/>
      <c r="B15" s="6" t="s">
        <v>51</v>
      </c>
      <c r="C15" s="6"/>
      <c r="D15" s="6"/>
      <c r="E15" s="56">
        <v>0.8</v>
      </c>
      <c r="F15" s="12"/>
      <c r="G15" s="6"/>
      <c r="H15" s="6"/>
      <c r="I15" s="6"/>
      <c r="J15" s="57">
        <f>SUM(J8*E15)</f>
        <v>77600</v>
      </c>
      <c r="K15" s="5"/>
    </row>
    <row r="16" spans="1:11" ht="15.75">
      <c r="A16" s="6"/>
      <c r="B16" s="6"/>
      <c r="C16" s="6"/>
      <c r="D16" s="6" t="s">
        <v>52</v>
      </c>
      <c r="E16" s="56">
        <v>0.01</v>
      </c>
      <c r="F16" s="58">
        <f>SUM(J15*E16)</f>
        <v>776</v>
      </c>
      <c r="G16" s="6"/>
      <c r="H16" s="6"/>
      <c r="I16" s="6"/>
      <c r="K16" s="5"/>
    </row>
    <row r="17" spans="1:11" ht="15.75">
      <c r="A17" s="6"/>
      <c r="B17" s="6"/>
      <c r="C17" s="6"/>
      <c r="D17" s="6" t="s">
        <v>53</v>
      </c>
      <c r="E17" s="59">
        <v>0.005</v>
      </c>
      <c r="F17" s="58">
        <f>SUM(J15*E17)</f>
        <v>388</v>
      </c>
      <c r="G17" s="6"/>
      <c r="H17" s="6"/>
      <c r="I17" s="6"/>
      <c r="K17" s="5"/>
    </row>
    <row r="18" spans="1:11" ht="15.75">
      <c r="A18" s="6"/>
      <c r="B18" s="6"/>
      <c r="C18" s="6"/>
      <c r="D18" s="6" t="s">
        <v>28</v>
      </c>
      <c r="E18" s="12"/>
      <c r="F18" s="37">
        <v>500</v>
      </c>
      <c r="G18" s="6"/>
      <c r="H18" s="6"/>
      <c r="I18" s="6"/>
      <c r="K18" s="5"/>
    </row>
    <row r="19" spans="1:11" ht="16.5" thickBot="1">
      <c r="A19" s="6"/>
      <c r="B19" s="6"/>
      <c r="C19" s="6"/>
      <c r="D19" s="6" t="s">
        <v>4</v>
      </c>
      <c r="E19" s="12"/>
      <c r="F19" s="37">
        <v>848</v>
      </c>
      <c r="G19" s="52"/>
      <c r="H19" s="6"/>
      <c r="I19" s="6"/>
      <c r="K19" s="5"/>
    </row>
    <row r="20" spans="1:11" ht="16.5" thickTop="1">
      <c r="A20" s="6"/>
      <c r="B20" s="6"/>
      <c r="C20" s="6"/>
      <c r="D20" s="6"/>
      <c r="E20" s="12"/>
      <c r="F20" s="37" t="s">
        <v>14</v>
      </c>
      <c r="G20" s="15">
        <f>SUM(F16:F19)</f>
        <v>2512</v>
      </c>
      <c r="H20" s="6"/>
      <c r="I20" s="6"/>
      <c r="K20" s="5"/>
    </row>
    <row r="21" spans="1:11" ht="15.75">
      <c r="A21" s="6"/>
      <c r="B21" s="6" t="s">
        <v>5</v>
      </c>
      <c r="C21" s="6"/>
      <c r="E21" s="12"/>
      <c r="F21" s="37" t="s">
        <v>14</v>
      </c>
      <c r="G21" s="6"/>
      <c r="H21" s="6"/>
      <c r="I21" s="6"/>
      <c r="K21" s="5"/>
    </row>
    <row r="22" spans="1:11" ht="15.75">
      <c r="A22" s="6"/>
      <c r="B22" s="6"/>
      <c r="C22" s="6" t="s">
        <v>6</v>
      </c>
      <c r="E22" s="12"/>
      <c r="F22" s="37">
        <v>450</v>
      </c>
      <c r="G22" s="6"/>
      <c r="H22" s="6"/>
      <c r="I22" s="6"/>
      <c r="K22" s="5"/>
    </row>
    <row r="23" spans="1:11" ht="15.75">
      <c r="A23" s="6"/>
      <c r="B23" s="6"/>
      <c r="C23" s="6" t="s">
        <v>7</v>
      </c>
      <c r="E23" s="12"/>
      <c r="F23" s="37">
        <v>450</v>
      </c>
      <c r="G23" s="6"/>
      <c r="H23" s="6"/>
      <c r="I23" s="6"/>
      <c r="K23" s="5"/>
    </row>
    <row r="24" spans="1:11" ht="15.75">
      <c r="A24" s="6"/>
      <c r="B24" s="6" t="s">
        <v>48</v>
      </c>
      <c r="C24" s="6"/>
      <c r="E24" s="12"/>
      <c r="F24" s="54"/>
      <c r="G24" s="6"/>
      <c r="H24" s="6"/>
      <c r="I24" s="6"/>
      <c r="K24" s="5"/>
    </row>
    <row r="25" spans="1:11" ht="15.75">
      <c r="A25" s="6"/>
      <c r="B25" s="6"/>
      <c r="C25" s="6" t="s">
        <v>55</v>
      </c>
      <c r="E25" s="12"/>
      <c r="F25" s="37">
        <f>SUM(F37/6)</f>
        <v>568</v>
      </c>
      <c r="G25" s="6"/>
      <c r="H25" s="6"/>
      <c r="I25" s="6"/>
      <c r="K25" s="5"/>
    </row>
    <row r="26" spans="1:11" ht="15.75">
      <c r="A26" s="6"/>
      <c r="B26" s="6"/>
      <c r="C26" s="6" t="s">
        <v>54</v>
      </c>
      <c r="E26" s="12"/>
      <c r="F26" s="37">
        <f>SUM(F38*1.3)</f>
        <v>1170</v>
      </c>
      <c r="G26" s="6"/>
      <c r="H26" s="6"/>
      <c r="I26" s="6"/>
      <c r="K26" s="5"/>
    </row>
    <row r="27" spans="1:11" ht="15.75">
      <c r="A27" s="6"/>
      <c r="B27" s="6"/>
      <c r="C27" s="6"/>
      <c r="E27" s="12"/>
      <c r="F27" s="54"/>
      <c r="G27" s="15"/>
      <c r="H27" s="6"/>
      <c r="I27" s="6"/>
      <c r="K27" s="5"/>
    </row>
    <row r="28" spans="1:12" ht="15.75">
      <c r="A28" s="6"/>
      <c r="B28" s="6" t="s">
        <v>23</v>
      </c>
      <c r="C28" s="6"/>
      <c r="E28" s="15">
        <f>SUM(J8-J15)+(G20+F22+F23+F25+F26)</f>
        <v>24550</v>
      </c>
      <c r="F28" s="6"/>
      <c r="G28" s="6"/>
      <c r="I28" s="6"/>
      <c r="K28" s="5"/>
      <c r="L28" t="s">
        <v>14</v>
      </c>
    </row>
    <row r="29" spans="1:9" ht="15.75">
      <c r="A29" s="6"/>
      <c r="B29" s="6"/>
      <c r="C29" s="6"/>
      <c r="D29" s="6"/>
      <c r="E29" s="12"/>
      <c r="F29" s="6"/>
      <c r="G29" s="6"/>
      <c r="H29" s="6"/>
      <c r="I29" s="6"/>
    </row>
    <row r="30" spans="1:10" ht="23.25">
      <c r="A30" s="48" t="s">
        <v>35</v>
      </c>
      <c r="B30" s="6"/>
      <c r="C30" s="6"/>
      <c r="D30" s="6"/>
      <c r="E30" s="6"/>
      <c r="F30" s="12"/>
      <c r="G30" s="6"/>
      <c r="H30" s="6"/>
      <c r="I30" s="6"/>
      <c r="J30" s="6"/>
    </row>
    <row r="31" spans="1:13" ht="17.25" customHeight="1">
      <c r="A31" s="48"/>
      <c r="B31" s="6" t="s">
        <v>10</v>
      </c>
      <c r="C31" s="6"/>
      <c r="E31" s="8">
        <v>1300</v>
      </c>
      <c r="F31" s="12"/>
      <c r="G31" s="6"/>
      <c r="H31" s="6"/>
      <c r="J31" s="6"/>
      <c r="M31" t="s">
        <v>14</v>
      </c>
    </row>
    <row r="32" spans="1:10" ht="17.25" customHeight="1">
      <c r="A32" s="48"/>
      <c r="B32" s="6"/>
      <c r="C32" s="6" t="s">
        <v>56</v>
      </c>
      <c r="E32" s="8"/>
      <c r="F32" s="14">
        <f>J15</f>
        <v>77600</v>
      </c>
      <c r="G32" s="6"/>
      <c r="H32" t="s">
        <v>14</v>
      </c>
      <c r="J32" s="6"/>
    </row>
    <row r="33" spans="1:10" ht="17.25" customHeight="1">
      <c r="A33" s="48"/>
      <c r="B33" s="6"/>
      <c r="C33" s="6" t="s">
        <v>59</v>
      </c>
      <c r="E33" s="8"/>
      <c r="F33" s="62">
        <v>0.0375</v>
      </c>
      <c r="G33" s="6"/>
      <c r="J33" s="6"/>
    </row>
    <row r="34" spans="1:10" ht="17.25" customHeight="1">
      <c r="A34" s="48"/>
      <c r="B34" s="6"/>
      <c r="C34" s="6" t="s">
        <v>58</v>
      </c>
      <c r="E34" s="8"/>
      <c r="F34" s="12"/>
      <c r="G34" s="15">
        <f>PMT(F33/12,30*12,J15)*-1</f>
        <v>359.37769905996856</v>
      </c>
      <c r="H34" s="60" t="s">
        <v>14</v>
      </c>
      <c r="J34" s="6"/>
    </row>
    <row r="35" spans="1:10" ht="15.75">
      <c r="A35" s="6"/>
      <c r="B35" s="6"/>
      <c r="C35" s="6" t="s">
        <v>8</v>
      </c>
      <c r="E35" s="37">
        <f>J9</f>
        <v>127460</v>
      </c>
      <c r="F35" s="5"/>
      <c r="G35" s="8"/>
      <c r="H35" s="6"/>
      <c r="J35" s="6"/>
    </row>
    <row r="36" spans="1:10" ht="15.75">
      <c r="A36" s="6"/>
      <c r="B36" s="6"/>
      <c r="C36" s="6" t="s">
        <v>32</v>
      </c>
      <c r="E36" s="38">
        <v>0.0237</v>
      </c>
      <c r="F36" s="8"/>
      <c r="G36" s="8"/>
      <c r="H36" s="6"/>
      <c r="J36" s="6"/>
    </row>
    <row r="37" spans="1:10" ht="15.75">
      <c r="A37" s="6"/>
      <c r="B37" s="6"/>
      <c r="C37" s="6" t="s">
        <v>33</v>
      </c>
      <c r="E37" s="12" t="s">
        <v>14</v>
      </c>
      <c r="F37" s="37">
        <v>3408</v>
      </c>
      <c r="G37" s="6"/>
      <c r="H37" s="6"/>
      <c r="J37" s="6"/>
    </row>
    <row r="38" spans="1:10" ht="15.75">
      <c r="A38" s="6"/>
      <c r="B38" s="6"/>
      <c r="C38" s="6" t="s">
        <v>9</v>
      </c>
      <c r="E38" s="12"/>
      <c r="F38" s="37">
        <v>900</v>
      </c>
      <c r="G38" s="6"/>
      <c r="H38" s="6"/>
      <c r="J38" s="6"/>
    </row>
    <row r="39" spans="1:10" ht="15.75">
      <c r="A39" s="6"/>
      <c r="B39" s="6"/>
      <c r="C39" s="6" t="s">
        <v>57</v>
      </c>
      <c r="E39" s="12"/>
      <c r="F39" s="6"/>
      <c r="G39" s="14">
        <f>(F37+F38)/12+G34</f>
        <v>718.3776990599686</v>
      </c>
      <c r="H39" s="6"/>
      <c r="J39" s="6"/>
    </row>
    <row r="40" spans="1:10" ht="17.25" customHeight="1">
      <c r="A40" s="6"/>
      <c r="B40" s="6"/>
      <c r="C40" s="6" t="s">
        <v>47</v>
      </c>
      <c r="E40" s="12"/>
      <c r="F40" s="6"/>
      <c r="G40" s="6"/>
      <c r="H40" s="39">
        <f>+E31*0.08</f>
        <v>104</v>
      </c>
      <c r="J40" s="6"/>
    </row>
    <row r="41" spans="1:10" ht="17.25" customHeight="1">
      <c r="A41" s="6"/>
      <c r="B41" s="6"/>
      <c r="C41" s="6" t="s">
        <v>44</v>
      </c>
      <c r="E41" s="12"/>
      <c r="F41" s="6"/>
      <c r="G41" s="6"/>
      <c r="H41" s="39">
        <f>E31*0.05</f>
        <v>65</v>
      </c>
      <c r="J41" s="6"/>
    </row>
    <row r="42" spans="1:10" ht="17.25" customHeight="1">
      <c r="A42" s="6"/>
      <c r="B42" s="6"/>
      <c r="C42" s="6" t="s">
        <v>22</v>
      </c>
      <c r="E42" s="12"/>
      <c r="F42" s="6"/>
      <c r="G42" s="6"/>
      <c r="H42" s="40">
        <v>35</v>
      </c>
      <c r="J42" s="6"/>
    </row>
    <row r="43" spans="1:10" ht="17.25" customHeight="1">
      <c r="A43" s="6"/>
      <c r="B43" s="6"/>
      <c r="C43" s="6" t="s">
        <v>45</v>
      </c>
      <c r="E43" s="12"/>
      <c r="F43" s="6"/>
      <c r="G43" s="6"/>
      <c r="H43" s="39">
        <f>E31*0.05</f>
        <v>65</v>
      </c>
      <c r="J43" s="6"/>
    </row>
    <row r="44" spans="1:10" ht="15.75">
      <c r="A44" s="6"/>
      <c r="B44" s="6"/>
      <c r="C44" s="6"/>
      <c r="D44" s="6"/>
      <c r="E44" s="6"/>
      <c r="F44" s="12"/>
      <c r="G44" s="6"/>
      <c r="H44" s="8"/>
      <c r="I44" s="6"/>
      <c r="J44" s="6"/>
    </row>
    <row r="45" spans="1:10" ht="23.25">
      <c r="A45" s="48" t="s">
        <v>36</v>
      </c>
      <c r="B45" s="6"/>
      <c r="C45" s="6"/>
      <c r="D45" s="6"/>
      <c r="E45" s="16"/>
      <c r="F45" s="17"/>
      <c r="G45" s="18"/>
      <c r="H45" s="18"/>
      <c r="I45" s="6"/>
      <c r="J45" s="18">
        <f>E31-H40-H41-H42-H43-G39</f>
        <v>312.62230094003144</v>
      </c>
    </row>
    <row r="46" spans="1:10" ht="18">
      <c r="A46" s="6"/>
      <c r="B46" s="49" t="s">
        <v>42</v>
      </c>
      <c r="C46" s="6"/>
      <c r="E46" s="19"/>
      <c r="F46" s="16"/>
      <c r="G46" s="17"/>
      <c r="H46" s="6"/>
      <c r="I46" s="14">
        <f>SUM(G39+H40+H41+H43+H42)*12</f>
        <v>11848.532388719623</v>
      </c>
      <c r="J46" s="6"/>
    </row>
    <row r="47" spans="1:10" ht="18">
      <c r="A47" s="6"/>
      <c r="B47" s="41" t="s">
        <v>15</v>
      </c>
      <c r="C47" s="6"/>
      <c r="E47" s="19"/>
      <c r="F47" s="16"/>
      <c r="G47" s="17"/>
      <c r="H47" s="6"/>
      <c r="I47" s="20">
        <f>I46/(E31*12)</f>
        <v>0.7595213069692066</v>
      </c>
      <c r="J47" s="6"/>
    </row>
    <row r="48" spans="1:10" ht="18">
      <c r="A48" s="6"/>
      <c r="B48" s="16"/>
      <c r="C48" s="6"/>
      <c r="E48" s="16"/>
      <c r="F48" s="16"/>
      <c r="G48" s="17"/>
      <c r="H48" s="6"/>
      <c r="I48" s="12"/>
      <c r="J48" s="6"/>
    </row>
    <row r="49" spans="1:10" ht="18">
      <c r="A49" s="6"/>
      <c r="B49" s="36" t="s">
        <v>16</v>
      </c>
      <c r="C49" s="6"/>
      <c r="E49" s="19"/>
      <c r="F49" s="19"/>
      <c r="G49" s="17"/>
      <c r="H49" s="6"/>
      <c r="I49" s="14">
        <f>(E31*12)-I46</f>
        <v>3751.4676112803772</v>
      </c>
      <c r="J49" s="6"/>
    </row>
    <row r="50" spans="1:10" ht="18">
      <c r="A50" s="6"/>
      <c r="B50" s="19" t="s">
        <v>17</v>
      </c>
      <c r="C50" s="6"/>
      <c r="E50" s="19"/>
      <c r="F50" s="16"/>
      <c r="G50" s="17"/>
      <c r="H50" s="6"/>
      <c r="I50" s="20">
        <f>SUM(I49/E28)</f>
        <v>0.15280927133524957</v>
      </c>
      <c r="J50" s="6"/>
    </row>
    <row r="51" spans="1:10" ht="18">
      <c r="A51" s="6"/>
      <c r="B51" s="19"/>
      <c r="C51" s="6"/>
      <c r="E51" s="19"/>
      <c r="F51" s="16"/>
      <c r="G51" s="17"/>
      <c r="H51" s="6"/>
      <c r="I51" s="20"/>
      <c r="J51" s="6"/>
    </row>
    <row r="52" spans="1:10" ht="18">
      <c r="A52" s="6"/>
      <c r="B52" s="19" t="s">
        <v>60</v>
      </c>
      <c r="C52" s="6"/>
      <c r="E52" s="19"/>
      <c r="F52" s="16"/>
      <c r="G52" s="17"/>
      <c r="H52" s="6"/>
      <c r="I52" s="61">
        <f>PPMT(F33/12,12,360,F32,0,0)*12*-1</f>
        <v>1451.5048595218873</v>
      </c>
      <c r="J52" s="6"/>
    </row>
    <row r="53" spans="1:10" ht="18">
      <c r="A53" s="6"/>
      <c r="B53" s="19" t="s">
        <v>17</v>
      </c>
      <c r="C53" s="6"/>
      <c r="E53" s="19"/>
      <c r="F53" s="16"/>
      <c r="G53" s="17"/>
      <c r="H53" s="6"/>
      <c r="I53" s="20">
        <f>SUM(I52/E28)</f>
        <v>0.059124434196410884</v>
      </c>
      <c r="J53" s="6"/>
    </row>
    <row r="54" spans="1:10" ht="18">
      <c r="A54" s="6"/>
      <c r="B54" s="16"/>
      <c r="C54" s="6"/>
      <c r="E54" s="16"/>
      <c r="F54" s="22"/>
      <c r="G54" s="17"/>
      <c r="H54" s="6"/>
      <c r="I54" s="6"/>
      <c r="J54" s="6"/>
    </row>
    <row r="55" spans="1:10" ht="18">
      <c r="A55" s="6"/>
      <c r="B55" s="19" t="s">
        <v>41</v>
      </c>
      <c r="C55" s="6"/>
      <c r="E55" s="6"/>
      <c r="F55" s="24" t="s">
        <v>14</v>
      </c>
      <c r="G55" s="25" t="s">
        <v>14</v>
      </c>
      <c r="H55" s="6"/>
      <c r="I55" s="26">
        <f>J9*0.8/F56</f>
        <v>3707.927272727273</v>
      </c>
      <c r="J55" s="6"/>
    </row>
    <row r="56" spans="1:10" ht="18">
      <c r="A56" s="6"/>
      <c r="C56" s="6"/>
      <c r="D56" s="27" t="s">
        <v>18</v>
      </c>
      <c r="E56" s="6"/>
      <c r="F56" s="28">
        <v>27.5</v>
      </c>
      <c r="H56" s="6"/>
      <c r="I56" s="6"/>
      <c r="J56" s="6"/>
    </row>
    <row r="57" spans="1:10" ht="18">
      <c r="A57" s="6"/>
      <c r="B57" s="19" t="s">
        <v>14</v>
      </c>
      <c r="C57" s="6"/>
      <c r="E57" s="6"/>
      <c r="F57" s="19"/>
      <c r="G57" s="25" t="s">
        <v>14</v>
      </c>
      <c r="H57" s="6"/>
      <c r="I57" s="6"/>
      <c r="J57" s="6"/>
    </row>
    <row r="58" spans="1:10" ht="18">
      <c r="A58" s="6"/>
      <c r="B58" s="21" t="s">
        <v>19</v>
      </c>
      <c r="C58" s="6"/>
      <c r="E58" s="6"/>
      <c r="F58" s="29">
        <v>0.3</v>
      </c>
      <c r="G58" s="23" t="s">
        <v>20</v>
      </c>
      <c r="H58" s="6"/>
      <c r="I58" s="30">
        <f>F58*I55</f>
        <v>1112.3781818181817</v>
      </c>
      <c r="J58" s="6"/>
    </row>
    <row r="59" spans="1:10" ht="18">
      <c r="A59" s="6"/>
      <c r="B59" s="19" t="s">
        <v>17</v>
      </c>
      <c r="C59" s="6"/>
      <c r="E59" s="19"/>
      <c r="F59" s="19" t="s">
        <v>14</v>
      </c>
      <c r="G59" s="17"/>
      <c r="H59" s="6"/>
      <c r="I59" s="31">
        <f>I58/E28</f>
        <v>0.045310720236993146</v>
      </c>
      <c r="J59" s="6"/>
    </row>
    <row r="60" spans="1:10" ht="18">
      <c r="A60" s="6"/>
      <c r="B60" s="16"/>
      <c r="C60" s="6"/>
      <c r="E60" s="16"/>
      <c r="F60" s="16"/>
      <c r="G60" s="17"/>
      <c r="H60" s="6"/>
      <c r="I60" s="6"/>
      <c r="J60" s="6"/>
    </row>
    <row r="61" spans="1:10" ht="18">
      <c r="A61" s="6"/>
      <c r="B61" s="16" t="s">
        <v>43</v>
      </c>
      <c r="C61" s="6"/>
      <c r="E61" s="16"/>
      <c r="F61" s="16"/>
      <c r="G61" s="17"/>
      <c r="H61" s="6"/>
      <c r="I61" s="15">
        <f>J9-I5</f>
        <v>38460</v>
      </c>
      <c r="J61" s="6"/>
    </row>
    <row r="62" spans="1:10" ht="18">
      <c r="A62" s="6"/>
      <c r="B62" s="6"/>
      <c r="C62" s="6"/>
      <c r="D62" s="19" t="s">
        <v>17</v>
      </c>
      <c r="E62" s="19"/>
      <c r="F62" s="19" t="s">
        <v>14</v>
      </c>
      <c r="G62" s="17"/>
      <c r="H62" s="6"/>
      <c r="I62" s="31">
        <f>I61/E28</f>
        <v>1.5665987780040733</v>
      </c>
      <c r="J62" s="6"/>
    </row>
    <row r="63" spans="1:10" ht="18">
      <c r="A63" s="6"/>
      <c r="B63" s="6"/>
      <c r="C63" s="6"/>
      <c r="D63" s="19"/>
      <c r="E63" s="19"/>
      <c r="F63" s="19"/>
      <c r="G63" s="17"/>
      <c r="H63" s="6"/>
      <c r="I63" s="31"/>
      <c r="J63" s="6"/>
    </row>
    <row r="64" spans="1:10" ht="18">
      <c r="A64" s="6"/>
      <c r="B64" s="16" t="s">
        <v>49</v>
      </c>
      <c r="C64" s="6"/>
      <c r="D64" s="19"/>
      <c r="E64" s="19"/>
      <c r="F64" s="19"/>
      <c r="G64" s="17"/>
      <c r="H64" s="6"/>
      <c r="I64" s="55">
        <f>SUM(J8*0.03)</f>
        <v>2910</v>
      </c>
      <c r="J64" s="6"/>
    </row>
    <row r="65" spans="1:10" ht="18">
      <c r="A65" s="6"/>
      <c r="B65" s="6"/>
      <c r="C65" s="6"/>
      <c r="D65" s="19"/>
      <c r="E65" s="19"/>
      <c r="F65" s="19"/>
      <c r="G65" s="17"/>
      <c r="H65" s="6"/>
      <c r="I65" s="31"/>
      <c r="J65" s="6"/>
    </row>
    <row r="66" spans="1:10" ht="18">
      <c r="A66" s="6"/>
      <c r="B66" s="6"/>
      <c r="C66" s="6"/>
      <c r="D66" s="19" t="s">
        <v>31</v>
      </c>
      <c r="E66" s="19"/>
      <c r="F66" s="19"/>
      <c r="G66" s="17"/>
      <c r="H66" s="6"/>
      <c r="I66" s="14">
        <f>SUM(I49+I55+I58+I61+I64)</f>
        <v>49941.77306582583</v>
      </c>
      <c r="J66" s="6"/>
    </row>
    <row r="67" spans="1:10" ht="18">
      <c r="A67" s="7"/>
      <c r="B67" s="7"/>
      <c r="C67" s="7"/>
      <c r="D67" s="32" t="s">
        <v>21</v>
      </c>
      <c r="E67" s="32"/>
      <c r="F67" s="9"/>
      <c r="G67" s="33"/>
      <c r="H67" s="7"/>
      <c r="I67" s="34">
        <f>I66/E28</f>
        <v>2.03428810858761</v>
      </c>
      <c r="J67" s="7"/>
    </row>
    <row r="68" spans="4:9" ht="15">
      <c r="D68" s="3"/>
      <c r="E68" s="3"/>
      <c r="F68" s="3"/>
      <c r="G68" s="4"/>
      <c r="H68" s="3"/>
      <c r="I68" s="2"/>
    </row>
    <row r="69" spans="4:9" ht="15">
      <c r="D69" s="3"/>
      <c r="E69" s="3"/>
      <c r="G69" s="3"/>
      <c r="H69" s="3"/>
      <c r="I69" s="2"/>
    </row>
    <row r="70" spans="4:9" ht="15">
      <c r="D70" s="2"/>
      <c r="E70" s="2"/>
      <c r="F70" s="2"/>
      <c r="G70" s="2"/>
      <c r="H70" s="2"/>
      <c r="I70" s="2"/>
    </row>
    <row r="71" spans="4:9" ht="15">
      <c r="D71" s="2"/>
      <c r="E71" s="2"/>
      <c r="F71" s="2"/>
      <c r="G71" s="2"/>
      <c r="H71" s="2"/>
      <c r="I71" s="2"/>
    </row>
  </sheetData>
  <printOptions gridLines="1" horizontalCentered="1" verticalCentered="1"/>
  <pageMargins left="0.75" right="0.75" top="0.52" bottom="0.53" header="0.5" footer="0.5"/>
  <pageSetup fitToHeight="1" fitToWidth="1" horizontalDpi="300" verticalDpi="300" orientation="portrait" scale="60" r:id="rId2"/>
  <headerFooter alignWithMargins="0">
    <oddFooter>&amp;LInformation herein deemed reliable, but not guaranteed.&amp;RRevised: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58"/>
    <pageSetUpPr fitToPage="1"/>
  </sheetPr>
  <dimension ref="A1:M66"/>
  <sheetViews>
    <sheetView tabSelected="1" defaultGridColor="0" colorId="22" workbookViewId="0" topLeftCell="A1">
      <selection activeCell="E11" sqref="E11"/>
    </sheetView>
  </sheetViews>
  <sheetFormatPr defaultColWidth="9.77734375" defaultRowHeight="15"/>
  <cols>
    <col min="1" max="1" width="6.77734375" style="0" customWidth="1"/>
    <col min="2" max="2" width="3.77734375" style="0" customWidth="1"/>
    <col min="3" max="3" width="2.77734375" style="0" customWidth="1"/>
    <col min="4" max="4" width="41.3359375" style="0" customWidth="1"/>
    <col min="5" max="5" width="11.99609375" style="0" bestFit="1" customWidth="1"/>
    <col min="6" max="6" width="11.77734375" style="1" bestFit="1" customWidth="1"/>
    <col min="7" max="7" width="12.21484375" style="0" customWidth="1"/>
    <col min="8" max="8" width="9.99609375" style="0" bestFit="1" customWidth="1"/>
    <col min="9" max="9" width="11.4453125" style="0" bestFit="1" customWidth="1"/>
    <col min="10" max="10" width="11.99609375" style="0" bestFit="1" customWidth="1"/>
  </cols>
  <sheetData>
    <row r="1" spans="1:10" ht="23.25">
      <c r="A1" s="42">
        <f>E29</f>
        <v>99248</v>
      </c>
      <c r="B1" s="43" t="s">
        <v>24</v>
      </c>
      <c r="C1" s="10"/>
      <c r="D1" s="11"/>
      <c r="E1" s="11"/>
      <c r="F1" s="12"/>
      <c r="G1" s="11"/>
      <c r="H1" s="11"/>
      <c r="I1" s="11"/>
      <c r="J1" s="11" t="s">
        <v>26</v>
      </c>
    </row>
    <row r="2" spans="1:10" ht="23.25">
      <c r="A2" s="44">
        <f>J43</f>
        <v>672</v>
      </c>
      <c r="B2" s="35" t="s">
        <v>25</v>
      </c>
      <c r="C2" s="10"/>
      <c r="D2" s="11"/>
      <c r="E2" s="11"/>
      <c r="F2" s="12"/>
      <c r="G2" s="11"/>
      <c r="H2" s="11"/>
      <c r="I2" s="11"/>
      <c r="J2" s="11"/>
    </row>
    <row r="3" spans="1:10" ht="11.25" customHeight="1">
      <c r="A3" s="6"/>
      <c r="B3" s="10"/>
      <c r="C3" s="10"/>
      <c r="D3" s="11"/>
      <c r="E3" s="11"/>
      <c r="F3" s="12"/>
      <c r="G3" s="11"/>
      <c r="H3" s="11"/>
      <c r="I3" s="11"/>
      <c r="J3" s="11"/>
    </row>
    <row r="4" spans="1:10" ht="23.25">
      <c r="A4" s="45" t="s">
        <v>46</v>
      </c>
      <c r="B4" s="6"/>
      <c r="C4" s="6"/>
      <c r="D4" s="6"/>
      <c r="E4" s="6"/>
      <c r="F4" s="12"/>
      <c r="G4" s="6"/>
      <c r="H4" s="6"/>
      <c r="I4" s="6"/>
      <c r="J4" s="46" t="s">
        <v>13</v>
      </c>
    </row>
    <row r="5" spans="1:10" ht="15.75">
      <c r="A5" s="6"/>
      <c r="B5" s="6" t="s">
        <v>0</v>
      </c>
      <c r="C5" s="6"/>
      <c r="D5" s="6"/>
      <c r="E5" s="12" t="s">
        <v>11</v>
      </c>
      <c r="F5" s="13">
        <f>'Investment Analysis Financing'!$F$5</f>
        <v>94999</v>
      </c>
      <c r="G5" s="6"/>
      <c r="H5" s="12" t="s">
        <v>12</v>
      </c>
      <c r="I5" s="37">
        <f>'Investment Analysis Financing'!I5</f>
        <v>89000</v>
      </c>
      <c r="J5" s="47">
        <f>+I5/F5</f>
        <v>0.936851966862809</v>
      </c>
    </row>
    <row r="6" spans="1:11" ht="15.75">
      <c r="A6" s="6"/>
      <c r="B6" s="6" t="s">
        <v>29</v>
      </c>
      <c r="C6" s="6"/>
      <c r="D6" s="6"/>
      <c r="E6" s="6"/>
      <c r="F6" s="12"/>
      <c r="G6" s="6"/>
      <c r="H6" s="6"/>
      <c r="I6" s="6"/>
      <c r="J6" s="6"/>
      <c r="K6" s="5"/>
    </row>
    <row r="7" spans="1:11" ht="15.75">
      <c r="A7" s="6"/>
      <c r="B7" s="6"/>
      <c r="C7" s="6"/>
      <c r="D7" s="6" t="s">
        <v>1</v>
      </c>
      <c r="E7" s="6"/>
      <c r="F7" s="12" t="s">
        <v>14</v>
      </c>
      <c r="G7" s="37">
        <f>'Investment Analysis Financing'!$G$6</f>
        <v>8000</v>
      </c>
      <c r="H7" s="14"/>
      <c r="I7" s="6"/>
      <c r="J7" s="6"/>
      <c r="K7" s="5"/>
    </row>
    <row r="8" spans="1:11" ht="16.5" thickBot="1">
      <c r="A8" s="6"/>
      <c r="B8" s="6"/>
      <c r="C8" s="6"/>
      <c r="D8" s="6"/>
      <c r="E8" s="6"/>
      <c r="F8" s="12"/>
      <c r="G8" s="6"/>
      <c r="H8" s="6"/>
      <c r="I8" s="53">
        <f>SUM(G7:G7)</f>
        <v>8000</v>
      </c>
      <c r="J8" s="51"/>
      <c r="K8" s="5"/>
    </row>
    <row r="9" spans="1:11" ht="16.5" thickTop="1">
      <c r="A9" s="6"/>
      <c r="B9" s="6" t="s">
        <v>30</v>
      </c>
      <c r="C9" s="6"/>
      <c r="D9" s="6"/>
      <c r="E9" s="6"/>
      <c r="F9" s="12"/>
      <c r="G9" s="6"/>
      <c r="H9" s="6"/>
      <c r="I9" s="6"/>
      <c r="J9" s="14">
        <f>'Investment Analysis Financing'!J8</f>
        <v>97000</v>
      </c>
      <c r="K9" s="5"/>
    </row>
    <row r="10" spans="1:11" ht="15.75">
      <c r="A10" s="6"/>
      <c r="B10" s="6"/>
      <c r="C10" s="6"/>
      <c r="D10" s="6"/>
      <c r="E10" s="6"/>
      <c r="F10" s="12"/>
      <c r="G10" s="6"/>
      <c r="H10" s="6"/>
      <c r="I10" s="6"/>
      <c r="J10" s="6"/>
      <c r="K10" s="5"/>
    </row>
    <row r="11" spans="1:11" ht="15.75">
      <c r="A11" s="6"/>
      <c r="B11" s="6" t="s">
        <v>37</v>
      </c>
      <c r="C11" s="6"/>
      <c r="D11" s="6"/>
      <c r="E11" s="6"/>
      <c r="F11" s="12"/>
      <c r="G11" s="6"/>
      <c r="H11" s="6"/>
      <c r="I11" s="6"/>
      <c r="J11" s="37">
        <f>'Investment Analysis Financing'!J9</f>
        <v>127460</v>
      </c>
      <c r="K11" s="5"/>
    </row>
    <row r="12" spans="1:11" ht="15.75">
      <c r="A12" s="6"/>
      <c r="B12" s="6"/>
      <c r="C12" s="6"/>
      <c r="D12" s="6"/>
      <c r="E12" s="6"/>
      <c r="F12" s="12"/>
      <c r="G12" s="6"/>
      <c r="H12" s="6"/>
      <c r="I12" s="6"/>
      <c r="J12" s="5"/>
      <c r="K12" s="5"/>
    </row>
    <row r="13" spans="1:11" ht="15.75">
      <c r="A13" s="6"/>
      <c r="B13" s="6" t="s">
        <v>2</v>
      </c>
      <c r="C13" s="6"/>
      <c r="D13" s="6"/>
      <c r="E13" s="50">
        <f>'Investment Analysis Financing'!E10</f>
        <v>1728</v>
      </c>
      <c r="F13" s="12"/>
      <c r="G13" s="6"/>
      <c r="I13" s="6"/>
      <c r="J13" s="6"/>
      <c r="K13" s="5"/>
    </row>
    <row r="14" spans="1:11" ht="15.75">
      <c r="A14" s="6"/>
      <c r="B14" s="6" t="s">
        <v>3</v>
      </c>
      <c r="C14" s="6"/>
      <c r="D14" s="6"/>
      <c r="E14" s="6"/>
      <c r="F14" s="12"/>
      <c r="G14" s="6"/>
      <c r="H14" s="14">
        <f>J11/E13</f>
        <v>73.76157407407408</v>
      </c>
      <c r="I14" s="6"/>
      <c r="K14" s="5"/>
    </row>
    <row r="15" spans="1:11" ht="15.75">
      <c r="A15" s="6"/>
      <c r="B15" s="6" t="s">
        <v>38</v>
      </c>
      <c r="C15" s="6"/>
      <c r="D15" s="6"/>
      <c r="E15" s="6" t="str">
        <f>'Investment Analysis Financing'!E12</f>
        <v>Brick</v>
      </c>
      <c r="F15" s="12" t="str">
        <f>'Investment Analysis Financing'!F12</f>
        <v>2005 YB</v>
      </c>
      <c r="G15" s="6" t="str">
        <f>'Investment Analysis Financing'!G12</f>
        <v>3/2/2</v>
      </c>
      <c r="H15" s="6"/>
      <c r="I15" s="6"/>
      <c r="K15" s="5"/>
    </row>
    <row r="16" spans="1:11" ht="15.75">
      <c r="A16" s="6"/>
      <c r="B16" s="6"/>
      <c r="C16" s="6"/>
      <c r="D16" s="6"/>
      <c r="E16" s="6"/>
      <c r="F16" s="12"/>
      <c r="G16" s="6"/>
      <c r="H16" s="6"/>
      <c r="I16" s="6"/>
      <c r="K16" s="5"/>
    </row>
    <row r="17" spans="1:11" ht="15.75">
      <c r="A17" s="6"/>
      <c r="B17" s="6" t="s">
        <v>39</v>
      </c>
      <c r="C17" s="6"/>
      <c r="D17" s="6"/>
      <c r="E17" s="6"/>
      <c r="F17" s="12"/>
      <c r="G17" s="6"/>
      <c r="H17" s="20">
        <f>J9/J11</f>
        <v>0.7610230660599404</v>
      </c>
      <c r="I17" s="6"/>
      <c r="K17" s="5"/>
    </row>
    <row r="18" spans="1:11" ht="15.75">
      <c r="A18" s="6"/>
      <c r="B18" s="6"/>
      <c r="C18" s="6"/>
      <c r="D18" s="6"/>
      <c r="E18" s="6"/>
      <c r="F18" s="12"/>
      <c r="G18" s="6"/>
      <c r="H18" s="6"/>
      <c r="I18" s="6"/>
      <c r="K18" s="5"/>
    </row>
    <row r="19" spans="1:11" ht="15.75">
      <c r="A19" s="6"/>
      <c r="B19" s="6"/>
      <c r="C19" s="6"/>
      <c r="D19" s="6" t="s">
        <v>28</v>
      </c>
      <c r="E19" s="12"/>
      <c r="F19" s="37">
        <v>500</v>
      </c>
      <c r="G19" s="6"/>
      <c r="H19" s="6"/>
      <c r="I19" s="6"/>
      <c r="K19" s="5"/>
    </row>
    <row r="20" spans="1:11" ht="16.5" thickBot="1">
      <c r="A20" s="6"/>
      <c r="B20" s="6"/>
      <c r="C20" s="6"/>
      <c r="D20" s="6" t="s">
        <v>4</v>
      </c>
      <c r="E20" s="12"/>
      <c r="F20" s="37">
        <v>848</v>
      </c>
      <c r="G20" s="52"/>
      <c r="H20" s="6"/>
      <c r="I20" s="6"/>
      <c r="K20" s="5"/>
    </row>
    <row r="21" spans="1:11" ht="16.5" thickTop="1">
      <c r="A21" s="6"/>
      <c r="B21" s="6"/>
      <c r="C21" s="6"/>
      <c r="D21" s="6"/>
      <c r="E21" s="12"/>
      <c r="F21" s="37" t="s">
        <v>14</v>
      </c>
      <c r="G21" s="15">
        <f>SUM(F19:F20)</f>
        <v>1348</v>
      </c>
      <c r="H21" s="6"/>
      <c r="I21" s="6"/>
      <c r="K21" s="5"/>
    </row>
    <row r="22" spans="1:11" ht="15.75">
      <c r="A22" s="6"/>
      <c r="B22" s="6" t="s">
        <v>5</v>
      </c>
      <c r="C22" s="6"/>
      <c r="E22" s="12"/>
      <c r="F22" s="37" t="s">
        <v>14</v>
      </c>
      <c r="G22" s="6"/>
      <c r="H22" s="6"/>
      <c r="I22" s="6"/>
      <c r="K22" s="5"/>
    </row>
    <row r="23" spans="1:11" ht="15.75">
      <c r="A23" s="6"/>
      <c r="B23" s="6"/>
      <c r="C23" s="6" t="s">
        <v>6</v>
      </c>
      <c r="E23" s="12"/>
      <c r="F23" s="37">
        <v>0</v>
      </c>
      <c r="G23" s="6"/>
      <c r="H23" s="6"/>
      <c r="I23" s="6"/>
      <c r="K23" s="5"/>
    </row>
    <row r="24" spans="1:11" ht="15.75">
      <c r="A24" s="6"/>
      <c r="B24" s="6"/>
      <c r="C24" s="6" t="s">
        <v>7</v>
      </c>
      <c r="E24" s="12"/>
      <c r="F24" s="37">
        <v>0</v>
      </c>
      <c r="G24" s="6"/>
      <c r="H24" s="6"/>
      <c r="I24" s="6"/>
      <c r="K24" s="5"/>
    </row>
    <row r="25" spans="1:11" ht="15.75">
      <c r="A25" s="6"/>
      <c r="B25" s="6"/>
      <c r="C25" s="6"/>
      <c r="E25" s="12"/>
      <c r="F25" s="54"/>
      <c r="G25" s="15" t="s">
        <v>14</v>
      </c>
      <c r="H25" s="6"/>
      <c r="I25" s="6"/>
      <c r="K25" s="5"/>
    </row>
    <row r="26" spans="1:11" ht="15.75">
      <c r="A26" s="6"/>
      <c r="B26" s="6" t="s">
        <v>48</v>
      </c>
      <c r="C26" s="6"/>
      <c r="E26" s="12"/>
      <c r="F26" s="54"/>
      <c r="G26" s="6"/>
      <c r="H26" s="6"/>
      <c r="I26" s="6"/>
      <c r="K26" s="5"/>
    </row>
    <row r="27" spans="1:11" ht="15.75">
      <c r="A27" s="6"/>
      <c r="B27" s="6"/>
      <c r="C27" s="6" t="s">
        <v>40</v>
      </c>
      <c r="E27" s="12"/>
      <c r="F27" s="37">
        <f>F36</f>
        <v>900</v>
      </c>
      <c r="G27" s="6"/>
      <c r="H27" s="6"/>
      <c r="I27" s="6"/>
      <c r="K27" s="5"/>
    </row>
    <row r="28" spans="1:11" ht="15.75">
      <c r="A28" s="6"/>
      <c r="B28" s="6"/>
      <c r="C28" s="6"/>
      <c r="E28" s="12"/>
      <c r="F28" s="54"/>
      <c r="G28" s="15"/>
      <c r="H28" s="6"/>
      <c r="I28" s="6"/>
      <c r="K28" s="5"/>
    </row>
    <row r="29" spans="1:12" ht="15.75">
      <c r="A29" s="6"/>
      <c r="B29" s="6" t="s">
        <v>23</v>
      </c>
      <c r="C29" s="6"/>
      <c r="E29" s="15">
        <f>SUM(G21+F27+J9)</f>
        <v>99248</v>
      </c>
      <c r="F29" s="6"/>
      <c r="G29" s="6"/>
      <c r="I29" s="6"/>
      <c r="K29" s="5"/>
      <c r="L29" t="s">
        <v>14</v>
      </c>
    </row>
    <row r="30" spans="1:9" ht="15.75">
      <c r="A30" s="6"/>
      <c r="B30" s="6"/>
      <c r="C30" s="6"/>
      <c r="D30" s="6"/>
      <c r="E30" s="12"/>
      <c r="F30" s="6"/>
      <c r="G30" s="6"/>
      <c r="H30" s="6"/>
      <c r="I30" s="6"/>
    </row>
    <row r="31" spans="1:10" ht="23.25">
      <c r="A31" s="48" t="s">
        <v>35</v>
      </c>
      <c r="B31" s="6"/>
      <c r="C31" s="6"/>
      <c r="D31" s="6"/>
      <c r="E31" s="6"/>
      <c r="F31" s="12"/>
      <c r="G31" s="6"/>
      <c r="H31" s="6"/>
      <c r="I31" s="6"/>
      <c r="J31" s="6"/>
    </row>
    <row r="32" spans="1:13" ht="17.25" customHeight="1">
      <c r="A32" s="48"/>
      <c r="B32" s="6" t="s">
        <v>10</v>
      </c>
      <c r="C32" s="6"/>
      <c r="E32" s="8">
        <f>'Investment Analysis Financing'!E31</f>
        <v>1300</v>
      </c>
      <c r="F32" s="12"/>
      <c r="G32" s="6"/>
      <c r="H32" s="6"/>
      <c r="J32" s="6"/>
      <c r="M32" t="s">
        <v>14</v>
      </c>
    </row>
    <row r="33" spans="1:10" ht="15.75">
      <c r="A33" s="6"/>
      <c r="B33" s="6"/>
      <c r="C33" s="6" t="s">
        <v>8</v>
      </c>
      <c r="E33" s="37">
        <v>179390</v>
      </c>
      <c r="F33" s="5"/>
      <c r="G33" s="8"/>
      <c r="H33" s="6"/>
      <c r="J33" s="6"/>
    </row>
    <row r="34" spans="1:10" ht="15.75">
      <c r="A34" s="6"/>
      <c r="B34" s="6"/>
      <c r="C34" s="6" t="s">
        <v>32</v>
      </c>
      <c r="E34" s="38">
        <f>'Investment Analysis Financing'!E36</f>
        <v>0.0237</v>
      </c>
      <c r="F34" s="8"/>
      <c r="G34" s="8"/>
      <c r="H34" s="6"/>
      <c r="J34" s="6"/>
    </row>
    <row r="35" spans="1:10" ht="15.75">
      <c r="A35" s="6"/>
      <c r="B35" s="6"/>
      <c r="C35" s="6" t="s">
        <v>33</v>
      </c>
      <c r="E35" s="12" t="s">
        <v>14</v>
      </c>
      <c r="F35" s="37">
        <f>'Investment Analysis Financing'!F37</f>
        <v>3408</v>
      </c>
      <c r="G35" s="6"/>
      <c r="H35" s="6"/>
      <c r="J35" s="6"/>
    </row>
    <row r="36" spans="1:10" ht="15.75">
      <c r="A36" s="6"/>
      <c r="B36" s="6"/>
      <c r="C36" s="6" t="s">
        <v>9</v>
      </c>
      <c r="E36" s="12"/>
      <c r="F36" s="37">
        <f>'Investment Analysis Financing'!F38</f>
        <v>900</v>
      </c>
      <c r="G36" s="6"/>
      <c r="H36" s="6"/>
      <c r="J36" s="6"/>
    </row>
    <row r="37" spans="1:10" ht="15.75">
      <c r="A37" s="6"/>
      <c r="B37" s="6"/>
      <c r="C37" s="6" t="s">
        <v>34</v>
      </c>
      <c r="E37" s="12"/>
      <c r="F37" s="6"/>
      <c r="G37" s="8">
        <f>(F35+F36)/12</f>
        <v>359</v>
      </c>
      <c r="H37" s="6"/>
      <c r="J37" s="6"/>
    </row>
    <row r="38" spans="1:10" ht="17.25" customHeight="1">
      <c r="A38" s="6"/>
      <c r="B38" s="6"/>
      <c r="C38" s="6" t="s">
        <v>47</v>
      </c>
      <c r="E38" s="12"/>
      <c r="F38" s="6"/>
      <c r="G38" s="6"/>
      <c r="H38" s="39">
        <f>+E32*0.08</f>
        <v>104</v>
      </c>
      <c r="J38" s="6"/>
    </row>
    <row r="39" spans="1:10" ht="17.25" customHeight="1">
      <c r="A39" s="6"/>
      <c r="B39" s="6"/>
      <c r="C39" s="6" t="s">
        <v>44</v>
      </c>
      <c r="E39" s="12"/>
      <c r="F39" s="6"/>
      <c r="G39" s="6"/>
      <c r="H39" s="39">
        <f>E32*0.05</f>
        <v>65</v>
      </c>
      <c r="J39" s="6"/>
    </row>
    <row r="40" spans="1:10" ht="17.25" customHeight="1">
      <c r="A40" s="6"/>
      <c r="B40" s="6"/>
      <c r="C40" s="6" t="s">
        <v>22</v>
      </c>
      <c r="E40" s="12"/>
      <c r="F40" s="6"/>
      <c r="G40" s="6"/>
      <c r="H40" s="40">
        <f>'Investment Analysis Financing'!H42</f>
        <v>35</v>
      </c>
      <c r="J40" s="6"/>
    </row>
    <row r="41" spans="1:10" ht="17.25" customHeight="1">
      <c r="A41" s="6"/>
      <c r="B41" s="6"/>
      <c r="C41" s="6" t="s">
        <v>45</v>
      </c>
      <c r="E41" s="12"/>
      <c r="F41" s="6"/>
      <c r="G41" s="6"/>
      <c r="H41" s="39">
        <f>E32*0.05</f>
        <v>65</v>
      </c>
      <c r="J41" s="6"/>
    </row>
    <row r="42" spans="1:10" ht="15.75">
      <c r="A42" s="6"/>
      <c r="B42" s="6"/>
      <c r="C42" s="6"/>
      <c r="D42" s="6"/>
      <c r="E42" s="6"/>
      <c r="F42" s="12"/>
      <c r="G42" s="6"/>
      <c r="H42" s="8"/>
      <c r="I42" s="6"/>
      <c r="J42" s="6"/>
    </row>
    <row r="43" spans="1:10" ht="23.25">
      <c r="A43" s="48" t="s">
        <v>36</v>
      </c>
      <c r="B43" s="6"/>
      <c r="C43" s="6"/>
      <c r="D43" s="6"/>
      <c r="E43" s="16"/>
      <c r="F43" s="17"/>
      <c r="G43" s="18"/>
      <c r="H43" s="18"/>
      <c r="I43" s="6"/>
      <c r="J43" s="18">
        <f>E32-H38-H39-H40-H41-G37</f>
        <v>672</v>
      </c>
    </row>
    <row r="44" spans="1:10" ht="18">
      <c r="A44" s="6"/>
      <c r="B44" s="49" t="s">
        <v>42</v>
      </c>
      <c r="C44" s="6"/>
      <c r="E44" s="19"/>
      <c r="F44" s="16"/>
      <c r="G44" s="17"/>
      <c r="H44" s="6"/>
      <c r="I44" s="14">
        <f>SUM(G37+H38+H39+H41+H40)*12</f>
        <v>7536</v>
      </c>
      <c r="J44" s="6"/>
    </row>
    <row r="45" spans="1:10" ht="18">
      <c r="A45" s="6"/>
      <c r="B45" s="41" t="s">
        <v>15</v>
      </c>
      <c r="C45" s="6"/>
      <c r="E45" s="19"/>
      <c r="F45" s="16"/>
      <c r="G45" s="17"/>
      <c r="H45" s="6"/>
      <c r="I45" s="20">
        <f>I44/(E32*12)</f>
        <v>0.48307692307692307</v>
      </c>
      <c r="J45" s="6"/>
    </row>
    <row r="46" spans="1:10" ht="18">
      <c r="A46" s="6"/>
      <c r="B46" s="16"/>
      <c r="C46" s="6"/>
      <c r="E46" s="16"/>
      <c r="F46" s="16"/>
      <c r="G46" s="17"/>
      <c r="H46" s="6"/>
      <c r="I46" s="12"/>
      <c r="J46" s="6"/>
    </row>
    <row r="47" spans="1:10" ht="18">
      <c r="A47" s="6"/>
      <c r="B47" s="36" t="s">
        <v>16</v>
      </c>
      <c r="C47" s="6"/>
      <c r="E47" s="19"/>
      <c r="F47" s="19"/>
      <c r="G47" s="17"/>
      <c r="H47" s="6"/>
      <c r="I47" s="14">
        <f>(E32*12)-I44</f>
        <v>8064</v>
      </c>
      <c r="J47" s="6"/>
    </row>
    <row r="48" spans="1:10" ht="18">
      <c r="A48" s="6"/>
      <c r="B48" s="19" t="s">
        <v>17</v>
      </c>
      <c r="C48" s="6"/>
      <c r="E48" s="19"/>
      <c r="F48" s="16"/>
      <c r="G48" s="17"/>
      <c r="H48" s="6"/>
      <c r="I48" s="20">
        <f>SUM(I47/J9)</f>
        <v>0.0831340206185567</v>
      </c>
      <c r="J48" s="6"/>
    </row>
    <row r="49" spans="1:10" ht="18">
      <c r="A49" s="6"/>
      <c r="B49" s="16"/>
      <c r="C49" s="6"/>
      <c r="E49" s="16"/>
      <c r="F49" s="22"/>
      <c r="G49" s="17"/>
      <c r="H49" s="6"/>
      <c r="I49" s="6"/>
      <c r="J49" s="6"/>
    </row>
    <row r="50" spans="1:10" ht="18">
      <c r="A50" s="6"/>
      <c r="B50" s="19" t="s">
        <v>41</v>
      </c>
      <c r="C50" s="6"/>
      <c r="E50" s="6"/>
      <c r="F50" s="24" t="s">
        <v>14</v>
      </c>
      <c r="G50" s="25" t="s">
        <v>14</v>
      </c>
      <c r="H50" s="6"/>
      <c r="I50" s="26">
        <f>J11*0.8/F51</f>
        <v>3707.927272727273</v>
      </c>
      <c r="J50" s="6"/>
    </row>
    <row r="51" spans="1:10" ht="18">
      <c r="A51" s="6"/>
      <c r="C51" s="6"/>
      <c r="D51" s="27" t="s">
        <v>18</v>
      </c>
      <c r="E51" s="6"/>
      <c r="F51" s="28">
        <v>27.5</v>
      </c>
      <c r="H51" s="6"/>
      <c r="I51" s="6"/>
      <c r="J51" s="6"/>
    </row>
    <row r="52" spans="1:10" ht="18">
      <c r="A52" s="6"/>
      <c r="B52" s="19" t="s">
        <v>14</v>
      </c>
      <c r="C52" s="6"/>
      <c r="E52" s="6"/>
      <c r="F52" s="19"/>
      <c r="G52" s="25" t="s">
        <v>14</v>
      </c>
      <c r="H52" s="6"/>
      <c r="I52" s="6"/>
      <c r="J52" s="6"/>
    </row>
    <row r="53" spans="1:10" ht="18">
      <c r="A53" s="6"/>
      <c r="B53" s="21" t="s">
        <v>19</v>
      </c>
      <c r="C53" s="6"/>
      <c r="E53" s="6"/>
      <c r="F53" s="29">
        <v>0.3</v>
      </c>
      <c r="G53" s="23" t="s">
        <v>20</v>
      </c>
      <c r="H53" s="6"/>
      <c r="I53" s="30">
        <f>F53*I50</f>
        <v>1112.3781818181817</v>
      </c>
      <c r="J53" s="6"/>
    </row>
    <row r="54" spans="1:10" ht="18">
      <c r="A54" s="6"/>
      <c r="B54" s="19" t="s">
        <v>17</v>
      </c>
      <c r="C54" s="6"/>
      <c r="E54" s="19"/>
      <c r="F54" s="19" t="s">
        <v>14</v>
      </c>
      <c r="G54" s="17"/>
      <c r="H54" s="6"/>
      <c r="I54" s="31">
        <f>I53/E29</f>
        <v>0.011208066478097108</v>
      </c>
      <c r="J54" s="6"/>
    </row>
    <row r="55" spans="1:10" ht="18">
      <c r="A55" s="6"/>
      <c r="B55" s="16"/>
      <c r="C55" s="6"/>
      <c r="E55" s="16"/>
      <c r="F55" s="16"/>
      <c r="G55" s="17"/>
      <c r="H55" s="6"/>
      <c r="I55" s="6"/>
      <c r="J55" s="6"/>
    </row>
    <row r="56" spans="1:10" ht="18">
      <c r="A56" s="6"/>
      <c r="B56" s="16" t="s">
        <v>43</v>
      </c>
      <c r="C56" s="6"/>
      <c r="E56" s="16"/>
      <c r="F56" s="16"/>
      <c r="G56" s="17"/>
      <c r="H56" s="6"/>
      <c r="I56" s="15">
        <f>J11-I5</f>
        <v>38460</v>
      </c>
      <c r="J56" s="6"/>
    </row>
    <row r="57" spans="1:10" ht="18">
      <c r="A57" s="6"/>
      <c r="B57" s="6"/>
      <c r="C57" s="6"/>
      <c r="D57" s="19" t="s">
        <v>17</v>
      </c>
      <c r="E57" s="19"/>
      <c r="F57" s="19" t="s">
        <v>14</v>
      </c>
      <c r="G57" s="17"/>
      <c r="H57" s="6"/>
      <c r="I57" s="31">
        <f>I56/E29</f>
        <v>0.3875141060777043</v>
      </c>
      <c r="J57" s="6"/>
    </row>
    <row r="58" spans="1:10" ht="18">
      <c r="A58" s="6"/>
      <c r="B58" s="6"/>
      <c r="C58" s="6"/>
      <c r="D58" s="19"/>
      <c r="E58" s="19"/>
      <c r="F58" s="19"/>
      <c r="G58" s="17"/>
      <c r="H58" s="6"/>
      <c r="I58" s="31"/>
      <c r="J58" s="6"/>
    </row>
    <row r="59" spans="1:10" ht="18">
      <c r="A59" s="6"/>
      <c r="B59" s="16" t="s">
        <v>49</v>
      </c>
      <c r="C59" s="6"/>
      <c r="D59" s="19"/>
      <c r="E59" s="19"/>
      <c r="F59" s="19"/>
      <c r="G59" s="17"/>
      <c r="H59" s="6"/>
      <c r="I59" s="55">
        <f>SUM(J9*0.03)</f>
        <v>2910</v>
      </c>
      <c r="J59" s="6"/>
    </row>
    <row r="60" spans="1:10" ht="18">
      <c r="A60" s="6"/>
      <c r="B60" s="6"/>
      <c r="C60" s="6"/>
      <c r="D60" s="19"/>
      <c r="E60" s="19"/>
      <c r="F60" s="19"/>
      <c r="G60" s="17"/>
      <c r="H60" s="6"/>
      <c r="I60" s="31"/>
      <c r="J60" s="6"/>
    </row>
    <row r="61" spans="1:10" ht="18">
      <c r="A61" s="6"/>
      <c r="B61" s="6"/>
      <c r="C61" s="6"/>
      <c r="D61" s="19" t="s">
        <v>31</v>
      </c>
      <c r="E61" s="19"/>
      <c r="F61" s="19"/>
      <c r="G61" s="17"/>
      <c r="H61" s="6"/>
      <c r="I61" s="14">
        <f>SUM(I47+I50+I53+I56+I59)</f>
        <v>54254.30545454545</v>
      </c>
      <c r="J61" s="6"/>
    </row>
    <row r="62" spans="1:10" ht="18">
      <c r="A62" s="7"/>
      <c r="B62" s="7"/>
      <c r="C62" s="7"/>
      <c r="D62" s="32" t="s">
        <v>21</v>
      </c>
      <c r="E62" s="32"/>
      <c r="F62" s="9"/>
      <c r="G62" s="33"/>
      <c r="H62" s="7"/>
      <c r="I62" s="34">
        <f>I61/E29</f>
        <v>0.5466538918118798</v>
      </c>
      <c r="J62" s="7"/>
    </row>
    <row r="63" spans="4:9" ht="15">
      <c r="D63" s="3"/>
      <c r="E63" s="3"/>
      <c r="F63" s="3"/>
      <c r="G63" s="4"/>
      <c r="H63" s="3"/>
      <c r="I63" s="2"/>
    </row>
    <row r="64" spans="4:9" ht="15">
      <c r="D64" s="3"/>
      <c r="E64" s="3"/>
      <c r="G64" s="3"/>
      <c r="H64" s="3"/>
      <c r="I64" s="2"/>
    </row>
    <row r="65" spans="4:9" ht="15">
      <c r="D65" s="2"/>
      <c r="E65" s="2"/>
      <c r="F65" s="2"/>
      <c r="G65" s="2"/>
      <c r="H65" s="2"/>
      <c r="I65" s="2"/>
    </row>
    <row r="66" spans="4:9" ht="15">
      <c r="D66" s="2"/>
      <c r="E66" s="2"/>
      <c r="F66" s="2"/>
      <c r="G66" s="2"/>
      <c r="H66" s="2"/>
      <c r="I66" s="2"/>
    </row>
  </sheetData>
  <printOptions gridLines="1" horizontalCentered="1" verticalCentered="1"/>
  <pageMargins left="0.75" right="0.75" top="0.52" bottom="0.53" header="0.5" footer="0.5"/>
  <pageSetup fitToHeight="1" fitToWidth="1" horizontalDpi="300" verticalDpi="300" orientation="portrait" scale="60" r:id="rId2"/>
  <headerFooter alignWithMargins="0">
    <oddFooter>&amp;LInformation herein deemed reliable, but not guaranteed.&amp;RRevised: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Gerry</cp:lastModifiedBy>
  <cp:lastPrinted>2012-11-09T23:01:42Z</cp:lastPrinted>
  <dcterms:created xsi:type="dcterms:W3CDTF">2007-01-31T23:09:56Z</dcterms:created>
  <dcterms:modified xsi:type="dcterms:W3CDTF">2012-11-24T00:59:21Z</dcterms:modified>
  <cp:category/>
  <cp:version/>
  <cp:contentType/>
  <cp:contentStatus/>
</cp:coreProperties>
</file>