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mc:AlternateContent xmlns:mc="http://schemas.openxmlformats.org/markup-compatibility/2006">
    <mc:Choice Requires="x15">
      <x15ac:absPath xmlns:x15ac="http://schemas.microsoft.com/office/spreadsheetml/2010/11/ac" url="/Volumes/GoogleDrive/My Drive/proj/salesOrderApp-FJ/50_work/xl/"/>
    </mc:Choice>
  </mc:AlternateContent>
  <xr:revisionPtr revIDLastSave="0" documentId="13_ncr:1_{D671F57E-AD61-7A46-BA79-EC81AF75EF6A}" xr6:coauthVersionLast="46" xr6:coauthVersionMax="47" xr10:uidLastSave="{00000000-0000-0000-0000-000000000000}"/>
  <bookViews>
    <workbookView xWindow="19020" yWindow="3520" windowWidth="38780" windowHeight="21120" xr2:uid="{00000000-000D-0000-FFFF-FFFF00000000}"/>
  </bookViews>
  <sheets>
    <sheet name="metadata" sheetId="1" r:id="rId1"/>
    <sheet name="info" sheetId="2" r:id="rId2"/>
    <sheet name="contact" sheetId="3" r:id="rId3"/>
    <sheet name="details" sheetId="7" r:id="rId4"/>
    <sheet name="saveandemail" sheetId="4" r:id="rId5"/>
    <sheet name="molnify" sheetId="5" r:id="rId6"/>
    <sheet name="products" sheetId="6" r:id="rId7"/>
  </sheets>
  <definedNames>
    <definedName name="discount_types">molnify!$Z$21:$Z$23</definedName>
    <definedName name="pay_title_account">details!$B$10</definedName>
    <definedName name="pay_title_bank">details!$B$11</definedName>
    <definedName name="pay_title_holder">details!$B$9</definedName>
    <definedName name="pay_title_iban">details!$B$13</definedName>
    <definedName name="pay_title_sort">details!$B$12</definedName>
    <definedName name="pay_title_swift">details!$B$14</definedName>
    <definedName name="pick_product">products!$B$2</definedName>
    <definedName name="products">products!$B$2:$B$84</definedName>
    <definedName name="show_ids">details!$C$19</definedName>
    <definedName name="show_thumbs">details!$C$18</definedName>
    <definedName name="user_email">info!$C$2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M28" i="5" l="1"/>
  <c r="BM27" i="5"/>
  <c r="BM26" i="5"/>
  <c r="BM25" i="5"/>
  <c r="BM24" i="5"/>
  <c r="BM23" i="5"/>
  <c r="BM22" i="5"/>
  <c r="BM21" i="5"/>
  <c r="BM20" i="5"/>
  <c r="BM19" i="5"/>
  <c r="BW16" i="5"/>
  <c r="BV16" i="5"/>
  <c r="BS16" i="5"/>
  <c r="BR16" i="5"/>
  <c r="BQ16" i="5"/>
  <c r="BO16" i="5"/>
  <c r="BL16" i="5"/>
  <c r="BJ16" i="5"/>
  <c r="BI16" i="5"/>
  <c r="BW15" i="5"/>
  <c r="BV15" i="5"/>
  <c r="BS15" i="5"/>
  <c r="BR15" i="5"/>
  <c r="BQ15" i="5"/>
  <c r="BO15" i="5"/>
  <c r="BL15" i="5"/>
  <c r="BJ15" i="5"/>
  <c r="BI15" i="5"/>
  <c r="BD15" i="5"/>
  <c r="BW14" i="5"/>
  <c r="BV14" i="5"/>
  <c r="BS14" i="5"/>
  <c r="BR14" i="5"/>
  <c r="BQ14" i="5"/>
  <c r="BO14" i="5"/>
  <c r="BL14" i="5"/>
  <c r="BJ14" i="5"/>
  <c r="BI14" i="5"/>
  <c r="BW13" i="5"/>
  <c r="BV13" i="5"/>
  <c r="BS13" i="5"/>
  <c r="BR13" i="5"/>
  <c r="BQ13" i="5"/>
  <c r="BO13" i="5"/>
  <c r="BL13" i="5"/>
  <c r="BJ13" i="5"/>
  <c r="BI13" i="5"/>
  <c r="BW12" i="5"/>
  <c r="BV12" i="5"/>
  <c r="BS12" i="5"/>
  <c r="BR12" i="5"/>
  <c r="BQ12" i="5"/>
  <c r="BO12" i="5"/>
  <c r="BL12" i="5"/>
  <c r="BJ12" i="5"/>
  <c r="BI12" i="5"/>
  <c r="BW11" i="5"/>
  <c r="BV11" i="5"/>
  <c r="BS11" i="5"/>
  <c r="BR11" i="5"/>
  <c r="BQ11" i="5"/>
  <c r="BO11" i="5"/>
  <c r="BL11" i="5"/>
  <c r="BJ11" i="5"/>
  <c r="BI11" i="5"/>
  <c r="BD11" i="5"/>
  <c r="BW10" i="5"/>
  <c r="BV10" i="5"/>
  <c r="BS10" i="5"/>
  <c r="BR10" i="5"/>
  <c r="BQ10" i="5"/>
  <c r="BO10" i="5"/>
  <c r="BL10" i="5"/>
  <c r="BJ10" i="5"/>
  <c r="BI10" i="5"/>
  <c r="BW9" i="5"/>
  <c r="BV9" i="5"/>
  <c r="BS9" i="5"/>
  <c r="BR9" i="5"/>
  <c r="BQ9" i="5"/>
  <c r="BO9" i="5"/>
  <c r="BL9" i="5"/>
  <c r="BJ9" i="5"/>
  <c r="BI9" i="5"/>
  <c r="BW8" i="5"/>
  <c r="BV8" i="5"/>
  <c r="BS8" i="5"/>
  <c r="BR8" i="5"/>
  <c r="BQ8" i="5"/>
  <c r="BO8" i="5"/>
  <c r="BL8" i="5"/>
  <c r="BJ8" i="5"/>
  <c r="BI8" i="5"/>
  <c r="BW7" i="5"/>
  <c r="BV7" i="5"/>
  <c r="BS7" i="5"/>
  <c r="BR7" i="5"/>
  <c r="BQ7" i="5"/>
  <c r="BO7" i="5"/>
  <c r="BL7" i="5"/>
  <c r="BJ7" i="5"/>
  <c r="BI7" i="5"/>
  <c r="BD7" i="5"/>
  <c r="C36" i="4"/>
  <c r="E3" i="2"/>
  <c r="C3" i="2" s="1"/>
  <c r="E4" i="2"/>
  <c r="C35" i="4"/>
  <c r="U8" i="5" l="1"/>
  <c r="U9" i="5"/>
  <c r="U10" i="5"/>
  <c r="U11" i="5"/>
  <c r="U12" i="5"/>
  <c r="U13" i="5"/>
  <c r="U14" i="5"/>
  <c r="U15" i="5"/>
  <c r="U16" i="5"/>
  <c r="U7" i="5"/>
  <c r="BH20" i="5" l="1"/>
  <c r="BH21" i="5"/>
  <c r="BH22" i="5"/>
  <c r="BH23" i="5"/>
  <c r="BH24" i="5"/>
  <c r="BH25" i="5"/>
  <c r="BH26" i="5"/>
  <c r="BH27" i="5"/>
  <c r="BH28" i="5"/>
  <c r="BH19" i="5"/>
  <c r="BE15" i="5" l="1"/>
  <c r="BE13" i="5"/>
  <c r="BE11" i="5"/>
  <c r="BE8" i="5"/>
  <c r="BE7" i="5"/>
  <c r="I19" i="7"/>
  <c r="I18" i="7"/>
  <c r="C10" i="7"/>
  <c r="F6" i="7"/>
  <c r="F5" i="7"/>
  <c r="D6" i="7" l="1"/>
  <c r="D5" i="7"/>
  <c r="D17" i="7"/>
  <c r="D16" i="7"/>
  <c r="D9" i="7" l="1"/>
  <c r="D10" i="7"/>
  <c r="D11" i="7"/>
  <c r="D12" i="7"/>
  <c r="D14" i="7"/>
  <c r="D8" i="7"/>
  <c r="F13" i="7"/>
  <c r="D13" i="7" s="1"/>
  <c r="C16" i="3"/>
  <c r="D10" i="3"/>
  <c r="D11" i="3"/>
  <c r="D12" i="3"/>
  <c r="D13" i="3"/>
  <c r="D14" i="3"/>
  <c r="D15" i="3"/>
  <c r="D9" i="3"/>
  <c r="D4" i="3"/>
  <c r="D5" i="3"/>
  <c r="D6" i="3"/>
  <c r="D7" i="3"/>
  <c r="D3" i="3"/>
  <c r="BK22" i="5"/>
  <c r="BK23" i="5"/>
  <c r="BK24" i="5"/>
  <c r="BK25" i="5"/>
  <c r="BK26" i="5"/>
  <c r="BK27" i="5"/>
  <c r="BK28" i="5"/>
  <c r="BJ22" i="5"/>
  <c r="BJ23" i="5"/>
  <c r="BJ24" i="5"/>
  <c r="BJ25" i="5"/>
  <c r="BJ26" i="5"/>
  <c r="BJ27" i="5"/>
  <c r="BJ28" i="5"/>
  <c r="BI28" i="5"/>
  <c r="BI27" i="5"/>
  <c r="BI26" i="5"/>
  <c r="BI25" i="5"/>
  <c r="BI24" i="5"/>
  <c r="BI23" i="5"/>
  <c r="BI22" i="5"/>
  <c r="BL22" i="5"/>
  <c r="BL23" i="5"/>
  <c r="BL24" i="5"/>
  <c r="BL25" i="5"/>
  <c r="BL26" i="5"/>
  <c r="BL27" i="5"/>
  <c r="BL28" i="5"/>
  <c r="BM41" i="5"/>
  <c r="BM42" i="5"/>
  <c r="BM43" i="5"/>
  <c r="BM44" i="5"/>
  <c r="BM45" i="5"/>
  <c r="BM46" i="5"/>
  <c r="BM47" i="5"/>
  <c r="Q8" i="5"/>
  <c r="Q9" i="5"/>
  <c r="Q10" i="5"/>
  <c r="Q11" i="5"/>
  <c r="Q12" i="5"/>
  <c r="Q13" i="5"/>
  <c r="Q14" i="5"/>
  <c r="Q15" i="5"/>
  <c r="Q16" i="5"/>
  <c r="Q7" i="5"/>
  <c r="F3" i="7"/>
  <c r="D3" i="7" s="1"/>
  <c r="AV16" i="5"/>
  <c r="AV15" i="5"/>
  <c r="AV14" i="5"/>
  <c r="AV13" i="5"/>
  <c r="AV12" i="5"/>
  <c r="AV11" i="5"/>
  <c r="AV10" i="5"/>
  <c r="AV9" i="5"/>
  <c r="AV8" i="5"/>
  <c r="AV7" i="5"/>
  <c r="Y16" i="5"/>
  <c r="Y15" i="5"/>
  <c r="Y14" i="5"/>
  <c r="Y13" i="5"/>
  <c r="Y12" i="5"/>
  <c r="Y11" i="5"/>
  <c r="Y10" i="5"/>
  <c r="Y9" i="5"/>
  <c r="Y8" i="5"/>
  <c r="Y7" i="5"/>
  <c r="AI16" i="5"/>
  <c r="AI15" i="5"/>
  <c r="AI14" i="5"/>
  <c r="AI13" i="5"/>
  <c r="AI12" i="5"/>
  <c r="AI11" i="5"/>
  <c r="AI10" i="5"/>
  <c r="AI9" i="5"/>
  <c r="AI8" i="5"/>
  <c r="AI7" i="5"/>
  <c r="AF16" i="5"/>
  <c r="AF15" i="5"/>
  <c r="AF14" i="5"/>
  <c r="AF13" i="5"/>
  <c r="AF12" i="5"/>
  <c r="AF11" i="5"/>
  <c r="AF10" i="5"/>
  <c r="AF9" i="5"/>
  <c r="AF8" i="5"/>
  <c r="AF7" i="5"/>
  <c r="AC16" i="5"/>
  <c r="AC15" i="5"/>
  <c r="AC14" i="5"/>
  <c r="AC13" i="5"/>
  <c r="AC12" i="5"/>
  <c r="AC11" i="5"/>
  <c r="AC10" i="5"/>
  <c r="AC9" i="5"/>
  <c r="AC8" i="5"/>
  <c r="AC7" i="5"/>
  <c r="F8" i="5" l="1"/>
  <c r="F9" i="5"/>
  <c r="F10" i="5"/>
  <c r="S10" i="5" s="1"/>
  <c r="F11" i="5"/>
  <c r="S11" i="5" s="1"/>
  <c r="F12" i="5"/>
  <c r="S12" i="5" s="1"/>
  <c r="F13" i="5"/>
  <c r="S13" i="5" s="1"/>
  <c r="F14" i="5"/>
  <c r="S14" i="5" s="1"/>
  <c r="F15" i="5"/>
  <c r="S15" i="5" s="1"/>
  <c r="F16" i="5"/>
  <c r="S16" i="5" s="1"/>
  <c r="F7" i="5"/>
  <c r="I12" i="5" l="1"/>
  <c r="I15" i="5"/>
  <c r="I11" i="5"/>
  <c r="I10" i="5"/>
  <c r="I14" i="5"/>
  <c r="I7" i="5"/>
  <c r="I9" i="5"/>
  <c r="I13" i="5"/>
  <c r="I16" i="5"/>
  <c r="I8" i="5"/>
  <c r="J10" i="5"/>
  <c r="J14" i="5"/>
  <c r="J16" i="5"/>
  <c r="J15" i="5"/>
  <c r="J13" i="5"/>
  <c r="J12" i="5"/>
  <c r="G10" i="5"/>
  <c r="G13" i="5"/>
  <c r="G7" i="5"/>
  <c r="G16" i="5"/>
  <c r="G14" i="5"/>
  <c r="G12" i="5"/>
  <c r="G9" i="5"/>
  <c r="G8" i="5"/>
  <c r="G15" i="5"/>
  <c r="G11" i="5"/>
  <c r="F2" i="7"/>
  <c r="D2" i="7" s="1"/>
  <c r="I6" i="7"/>
  <c r="I5" i="7"/>
  <c r="H16" i="5" l="1"/>
  <c r="AR16" i="5"/>
  <c r="H11" i="5"/>
  <c r="AR11" i="5"/>
  <c r="H13" i="5"/>
  <c r="AR13" i="5"/>
  <c r="H14" i="5"/>
  <c r="AR14" i="5"/>
  <c r="H15" i="5"/>
  <c r="AR15" i="5"/>
  <c r="H10" i="5"/>
  <c r="AR10" i="5"/>
  <c r="H8" i="5"/>
  <c r="H9" i="5"/>
  <c r="H12" i="5"/>
  <c r="AR12" i="5"/>
  <c r="H7" i="5"/>
  <c r="R8" i="5"/>
  <c r="BN8" i="5" s="1"/>
  <c r="AJ8" i="5"/>
  <c r="Z8" i="5"/>
  <c r="AM11" i="5"/>
  <c r="Z11" i="5"/>
  <c r="R11" i="5"/>
  <c r="BN11" i="5" s="1"/>
  <c r="AJ11" i="5"/>
  <c r="AM13" i="5"/>
  <c r="AJ13" i="5"/>
  <c r="Z13" i="5"/>
  <c r="R13" i="5"/>
  <c r="BN13" i="5" s="1"/>
  <c r="AJ15" i="5"/>
  <c r="Z15" i="5"/>
  <c r="R15" i="5"/>
  <c r="BN15" i="5" s="1"/>
  <c r="Z10" i="5"/>
  <c r="R10" i="5"/>
  <c r="BN10" i="5" s="1"/>
  <c r="AJ10" i="5"/>
  <c r="R9" i="5"/>
  <c r="BN9" i="5" s="1"/>
  <c r="AJ9" i="5"/>
  <c r="Z9" i="5"/>
  <c r="AM14" i="5"/>
  <c r="AJ14" i="5"/>
  <c r="Z14" i="5"/>
  <c r="R14" i="5"/>
  <c r="BN14" i="5" s="1"/>
  <c r="AM12" i="5"/>
  <c r="AJ12" i="5"/>
  <c r="Z12" i="5"/>
  <c r="R12" i="5"/>
  <c r="BN12" i="5" s="1"/>
  <c r="AM16" i="5"/>
  <c r="R16" i="5"/>
  <c r="BN16" i="5" s="1"/>
  <c r="AJ16" i="5"/>
  <c r="Z16" i="5"/>
  <c r="R7" i="5"/>
  <c r="BN7" i="5" s="1"/>
  <c r="AJ7" i="5"/>
  <c r="Z7" i="5"/>
  <c r="BU42" i="5"/>
  <c r="BY11" i="5"/>
  <c r="BU44" i="5"/>
  <c r="BY13" i="5"/>
  <c r="BU41" i="5"/>
  <c r="BY10" i="5"/>
  <c r="BU46" i="5"/>
  <c r="BY15" i="5"/>
  <c r="BU38" i="5"/>
  <c r="BY7" i="5"/>
  <c r="BU40" i="5"/>
  <c r="BY9" i="5"/>
  <c r="BU39" i="5"/>
  <c r="BY8" i="5"/>
  <c r="BU47" i="5"/>
  <c r="BY16" i="5"/>
  <c r="BU45" i="5"/>
  <c r="BY14" i="5"/>
  <c r="BU43" i="5"/>
  <c r="BY12" i="5"/>
  <c r="AN10" i="5"/>
  <c r="AM10" i="5"/>
  <c r="AM15" i="5"/>
  <c r="BU10" i="5"/>
  <c r="BQ41" i="5" s="1"/>
  <c r="AO10" i="5"/>
  <c r="BK10" i="5" s="1"/>
  <c r="BN22" i="5" s="1"/>
  <c r="AL16" i="5"/>
  <c r="AL15" i="5"/>
  <c r="AL10" i="5"/>
  <c r="BT10" i="5"/>
  <c r="BP22" i="5" s="1"/>
  <c r="AL11" i="5"/>
  <c r="AL13" i="5"/>
  <c r="N15" i="5"/>
  <c r="BM15" i="5" s="1"/>
  <c r="BT13" i="5"/>
  <c r="BP25" i="5" s="1"/>
  <c r="AK10" i="5"/>
  <c r="BN43" i="5"/>
  <c r="AL12" i="5"/>
  <c r="AP10" i="5"/>
  <c r="BP10" i="5" s="1"/>
  <c r="BO41" i="5" s="1"/>
  <c r="N10" i="5"/>
  <c r="BM10" i="5" s="1"/>
  <c r="AL14" i="5"/>
  <c r="AO12" i="5"/>
  <c r="BK12" i="5" s="1"/>
  <c r="AX12" i="5"/>
  <c r="BT12" i="5"/>
  <c r="BP24" i="5" s="1"/>
  <c r="AP12" i="5"/>
  <c r="BP12" i="5" s="1"/>
  <c r="BO43" i="5" s="1"/>
  <c r="AK12" i="5"/>
  <c r="AN12" i="5"/>
  <c r="AN14" i="5"/>
  <c r="AK14" i="5"/>
  <c r="AX14" i="5"/>
  <c r="AP14" i="5"/>
  <c r="BP14" i="5" s="1"/>
  <c r="BO45" i="5" s="1"/>
  <c r="N14" i="5"/>
  <c r="BM14" i="5" s="1"/>
  <c r="AW14" i="5"/>
  <c r="AX15" i="5"/>
  <c r="AO15" i="5"/>
  <c r="BK15" i="5" s="1"/>
  <c r="AW13" i="5"/>
  <c r="AQ13" i="5" s="1"/>
  <c r="AK13" i="5"/>
  <c r="AN13" i="5"/>
  <c r="AW15" i="5"/>
  <c r="AQ15" i="5" s="1"/>
  <c r="AO13" i="5"/>
  <c r="BK13" i="5" s="1"/>
  <c r="AK15" i="5"/>
  <c r="N11" i="5"/>
  <c r="BM11" i="5" s="1"/>
  <c r="AN15" i="5"/>
  <c r="AP13" i="5"/>
  <c r="BP13" i="5" s="1"/>
  <c r="BO44" i="5" s="1"/>
  <c r="N12" i="5"/>
  <c r="BM12" i="5" s="1"/>
  <c r="AW10" i="5"/>
  <c r="AQ10" i="5" s="1"/>
  <c r="AX10" i="5"/>
  <c r="BU13" i="5"/>
  <c r="BQ44" i="5" s="1"/>
  <c r="BJ21" i="5"/>
  <c r="AW11" i="5"/>
  <c r="BU12" i="5"/>
  <c r="BQ43" i="5" s="1"/>
  <c r="N9" i="5"/>
  <c r="BM9" i="5" s="1"/>
  <c r="AP15" i="5"/>
  <c r="BP15" i="5" s="1"/>
  <c r="BO46" i="5" s="1"/>
  <c r="AO14" i="5"/>
  <c r="BK14" i="5" s="1"/>
  <c r="BT14" i="5"/>
  <c r="BP26" i="5" s="1"/>
  <c r="BT15" i="5"/>
  <c r="BP27" i="5" s="1"/>
  <c r="AX13" i="5"/>
  <c r="BU14" i="5"/>
  <c r="BQ45" i="5" s="1"/>
  <c r="AK16" i="5"/>
  <c r="N7" i="5"/>
  <c r="BM7" i="5" s="1"/>
  <c r="N13" i="5"/>
  <c r="BM13" i="5" s="1"/>
  <c r="BU11" i="5"/>
  <c r="BQ42" i="5" s="1"/>
  <c r="BU15" i="5"/>
  <c r="BQ46" i="5" s="1"/>
  <c r="BJ19" i="5"/>
  <c r="AW12" i="5"/>
  <c r="BU7" i="5"/>
  <c r="BQ38" i="5" s="1"/>
  <c r="AP16" i="5"/>
  <c r="BP16" i="5" s="1"/>
  <c r="BO47" i="5" s="1"/>
  <c r="BU16" i="5"/>
  <c r="BQ47" i="5" s="1"/>
  <c r="BU8" i="5"/>
  <c r="BQ39" i="5" s="1"/>
  <c r="AX16" i="5"/>
  <c r="AO16" i="5"/>
  <c r="BK16" i="5" s="1"/>
  <c r="AN16" i="5"/>
  <c r="BJ20" i="5"/>
  <c r="BT16" i="5"/>
  <c r="BP28" i="5" s="1"/>
  <c r="N8" i="5"/>
  <c r="BM8" i="5" s="1"/>
  <c r="AW16" i="5"/>
  <c r="BU9" i="5"/>
  <c r="BQ40" i="5" s="1"/>
  <c r="N16" i="5"/>
  <c r="BM16" i="5" s="1"/>
  <c r="BX16" i="5"/>
  <c r="BT47" i="5" s="1"/>
  <c r="BB16" i="5"/>
  <c r="V16" i="5"/>
  <c r="M16" i="5"/>
  <c r="E16" i="5"/>
  <c r="BX15" i="5"/>
  <c r="BT46" i="5" s="1"/>
  <c r="BB15" i="5"/>
  <c r="V15" i="5"/>
  <c r="M15" i="5"/>
  <c r="E15" i="5"/>
  <c r="BX14" i="5"/>
  <c r="BT45" i="5" s="1"/>
  <c r="BB14" i="5"/>
  <c r="V14" i="5"/>
  <c r="M14" i="5"/>
  <c r="E14" i="5"/>
  <c r="BX13" i="5"/>
  <c r="BT44" i="5" s="1"/>
  <c r="BB13" i="5"/>
  <c r="V13" i="5"/>
  <c r="M13" i="5"/>
  <c r="E13" i="5"/>
  <c r="BX12" i="5"/>
  <c r="BT43" i="5" s="1"/>
  <c r="BB12" i="5"/>
  <c r="V12" i="5"/>
  <c r="M12" i="5"/>
  <c r="E12" i="5"/>
  <c r="BX11" i="5"/>
  <c r="BT42" i="5" s="1"/>
  <c r="BB11" i="5"/>
  <c r="V11" i="5"/>
  <c r="M11" i="5"/>
  <c r="E11" i="5"/>
  <c r="BX10" i="5"/>
  <c r="BT41" i="5" s="1"/>
  <c r="BB10" i="5"/>
  <c r="V10" i="5"/>
  <c r="M10" i="5"/>
  <c r="E10" i="5"/>
  <c r="BX9" i="5"/>
  <c r="BT40" i="5" s="1"/>
  <c r="BB9" i="5"/>
  <c r="V9" i="5"/>
  <c r="M9" i="5"/>
  <c r="E9" i="5"/>
  <c r="BX8" i="5"/>
  <c r="BT39" i="5" s="1"/>
  <c r="BB8" i="5"/>
  <c r="V8" i="5"/>
  <c r="M8" i="5"/>
  <c r="S8" i="5" s="1"/>
  <c r="E8" i="5"/>
  <c r="BX7" i="5"/>
  <c r="BT38" i="5" s="1"/>
  <c r="BB7" i="5"/>
  <c r="V7" i="5"/>
  <c r="M7" i="5"/>
  <c r="S7" i="5" s="1"/>
  <c r="C28" i="4"/>
  <c r="F20" i="4"/>
  <c r="C3" i="4"/>
  <c r="C2" i="4"/>
  <c r="F33" i="2"/>
  <c r="F32" i="2"/>
  <c r="F31" i="2"/>
  <c r="C10" i="2" l="1"/>
  <c r="AY16" i="5"/>
  <c r="BR46" i="5"/>
  <c r="BL45" i="5"/>
  <c r="BL41" i="5"/>
  <c r="BL46" i="5"/>
  <c r="BR41" i="5"/>
  <c r="BR43" i="5"/>
  <c r="AL9" i="5"/>
  <c r="BR44" i="5"/>
  <c r="BN47" i="5"/>
  <c r="BR47" i="5"/>
  <c r="BR45" i="5"/>
  <c r="BN46" i="5"/>
  <c r="BL44" i="5"/>
  <c r="AY14" i="5"/>
  <c r="BN41" i="5"/>
  <c r="BN45" i="5"/>
  <c r="AY13" i="5"/>
  <c r="BL43" i="5"/>
  <c r="AY15" i="5"/>
  <c r="AY12" i="5"/>
  <c r="AY10" i="5"/>
  <c r="BL47" i="5"/>
  <c r="BN44" i="5"/>
  <c r="BM39" i="5"/>
  <c r="BL20" i="5"/>
  <c r="BL19" i="5"/>
  <c r="BM38" i="5"/>
  <c r="BN24" i="5"/>
  <c r="BN26" i="5"/>
  <c r="BN25" i="5"/>
  <c r="BN27" i="5"/>
  <c r="BN28" i="5"/>
  <c r="BS44" i="5"/>
  <c r="BQ25" i="5"/>
  <c r="BS46" i="5"/>
  <c r="BQ27" i="5"/>
  <c r="BS43" i="5"/>
  <c r="BQ24" i="5"/>
  <c r="BS41" i="5"/>
  <c r="BQ22" i="5"/>
  <c r="BS47" i="5"/>
  <c r="BQ28" i="5"/>
  <c r="BS45" i="5"/>
  <c r="BQ26" i="5"/>
  <c r="BH12" i="5"/>
  <c r="BH43" i="5" s="1"/>
  <c r="AS12" i="5"/>
  <c r="BH14" i="5"/>
  <c r="BH45" i="5" s="1"/>
  <c r="AS14" i="5"/>
  <c r="BH8" i="5"/>
  <c r="BH13" i="5"/>
  <c r="BH44" i="5" s="1"/>
  <c r="AS13" i="5"/>
  <c r="BH10" i="5"/>
  <c r="BH41" i="5" s="1"/>
  <c r="AS10" i="5"/>
  <c r="BH11" i="5"/>
  <c r="BH42" i="5" s="1"/>
  <c r="AS11" i="5"/>
  <c r="BH9" i="5"/>
  <c r="BH7" i="5"/>
  <c r="BH15" i="5"/>
  <c r="BH46" i="5" s="1"/>
  <c r="AS15" i="5"/>
  <c r="BH16" i="5"/>
  <c r="BH47" i="5" s="1"/>
  <c r="AS16" i="5"/>
  <c r="S9" i="5"/>
  <c r="AQ14" i="5"/>
  <c r="AL7" i="5"/>
  <c r="AO7" i="5" s="1"/>
  <c r="BK7" i="5" s="1"/>
  <c r="AL8" i="5"/>
  <c r="BL40" i="5"/>
  <c r="J9" i="5"/>
  <c r="AO9" i="5"/>
  <c r="BK9" i="5" s="1"/>
  <c r="AP9" i="5"/>
  <c r="BP9" i="5" s="1"/>
  <c r="BO40" i="5" s="1"/>
  <c r="AK9" i="5"/>
  <c r="AO8" i="5"/>
  <c r="BK8" i="5" s="1"/>
  <c r="BL39" i="5"/>
  <c r="J8" i="5"/>
  <c r="AK8" i="5"/>
  <c r="AK11" i="5"/>
  <c r="BL42" i="5"/>
  <c r="J11" i="5"/>
  <c r="AP11" i="5"/>
  <c r="BP11" i="5" s="1"/>
  <c r="BO42" i="5" s="1"/>
  <c r="AO11" i="5"/>
  <c r="BK11" i="5" s="1"/>
  <c r="AK7" i="5"/>
  <c r="AQ11" i="5"/>
  <c r="AQ12" i="5"/>
  <c r="AQ16" i="5"/>
  <c r="F21" i="4"/>
  <c r="BJ42" i="5"/>
  <c r="BN42" i="5"/>
  <c r="BJ46" i="5"/>
  <c r="BI45" i="5"/>
  <c r="BI42" i="5"/>
  <c r="BI43" i="5"/>
  <c r="F11" i="4"/>
  <c r="I13" i="4" s="1"/>
  <c r="F10" i="4"/>
  <c r="BK47" i="5"/>
  <c r="BN23" i="5" l="1"/>
  <c r="AM8" i="5"/>
  <c r="BN39" i="5" s="1"/>
  <c r="BL21" i="5"/>
  <c r="BM40" i="5"/>
  <c r="AM9" i="5"/>
  <c r="BN40" i="5" s="1"/>
  <c r="BH39" i="5"/>
  <c r="BI20" i="5"/>
  <c r="BH40" i="5"/>
  <c r="BI21" i="5"/>
  <c r="BH38" i="5"/>
  <c r="BI19" i="5"/>
  <c r="BP47" i="5"/>
  <c r="BO28" i="5"/>
  <c r="BP44" i="5"/>
  <c r="BO25" i="5"/>
  <c r="BP46" i="5"/>
  <c r="BO27" i="5"/>
  <c r="BP41" i="5"/>
  <c r="BO22" i="5"/>
  <c r="BK40" i="5"/>
  <c r="BN21" i="5"/>
  <c r="BP45" i="5"/>
  <c r="BO26" i="5"/>
  <c r="BP43" i="5"/>
  <c r="BO24" i="5"/>
  <c r="BI39" i="5"/>
  <c r="BI41" i="5"/>
  <c r="BI47" i="5"/>
  <c r="BI46" i="5"/>
  <c r="AW8" i="5"/>
  <c r="BK20" i="5" s="1"/>
  <c r="BI40" i="5"/>
  <c r="AW7" i="5"/>
  <c r="AQ7" i="5" s="1"/>
  <c r="AW9" i="5"/>
  <c r="BK21" i="5" s="1"/>
  <c r="BI38" i="5"/>
  <c r="BI44" i="5"/>
  <c r="J7" i="5"/>
  <c r="BL38" i="5"/>
  <c r="AM7" i="5"/>
  <c r="AN9" i="5"/>
  <c r="AN8" i="5"/>
  <c r="AK18" i="5"/>
  <c r="AN11" i="5"/>
  <c r="AP7" i="5"/>
  <c r="BK39" i="5"/>
  <c r="BK43" i="5"/>
  <c r="BJ45" i="5"/>
  <c r="BJ41" i="5"/>
  <c r="BJ38" i="5"/>
  <c r="BK44" i="5"/>
  <c r="BK38" i="5"/>
  <c r="BK45" i="5"/>
  <c r="BK41" i="5"/>
  <c r="BK42" i="5"/>
  <c r="BJ47" i="5"/>
  <c r="BJ39" i="5"/>
  <c r="BJ44" i="5"/>
  <c r="BJ40" i="5"/>
  <c r="BJ43" i="5"/>
  <c r="BK46" i="5"/>
  <c r="BN38" i="5" l="1"/>
  <c r="AQ8" i="5"/>
  <c r="BK19" i="5"/>
  <c r="AQ9" i="5"/>
  <c r="AP8" i="5"/>
  <c r="BP8" i="5" s="1"/>
  <c r="AR8" i="5"/>
  <c r="AN7" i="5"/>
  <c r="AX9" i="5"/>
  <c r="BT8" i="5"/>
  <c r="BP20" i="5" s="1"/>
  <c r="AX8" i="5"/>
  <c r="BT11" i="5"/>
  <c r="BP23" i="5" s="1"/>
  <c r="AX11" i="5"/>
  <c r="BP7" i="5"/>
  <c r="BN19" i="5" s="1"/>
  <c r="AN18" i="5" l="1"/>
  <c r="BR42" i="5"/>
  <c r="BR39" i="5"/>
  <c r="BR40" i="5"/>
  <c r="BP40" i="5"/>
  <c r="BO21" i="5"/>
  <c r="BP42" i="5"/>
  <c r="BO23" i="5"/>
  <c r="BO39" i="5"/>
  <c r="BN20" i="5"/>
  <c r="BP39" i="5"/>
  <c r="BO20" i="5"/>
  <c r="BO38" i="5"/>
  <c r="AS8" i="5"/>
  <c r="AR9" i="5"/>
  <c r="AQ18" i="5"/>
  <c r="BT9" i="5"/>
  <c r="BP21" i="5" s="1"/>
  <c r="AX7" i="5"/>
  <c r="AR7" i="5"/>
  <c r="BT7" i="5"/>
  <c r="BP19" i="5" s="1"/>
  <c r="AY9" i="5"/>
  <c r="AY8" i="5"/>
  <c r="BD13" i="5"/>
  <c r="AY11" i="5"/>
  <c r="AY7" i="5" l="1"/>
  <c r="BO19" i="5"/>
  <c r="BP38" i="5"/>
  <c r="BS39" i="5"/>
  <c r="BQ20" i="5"/>
  <c r="BS40" i="5"/>
  <c r="BQ21" i="5"/>
  <c r="BS38" i="5"/>
  <c r="BQ19" i="5"/>
  <c r="AS9" i="5"/>
  <c r="AS7" i="5"/>
  <c r="AR19" i="5"/>
  <c r="BD8" i="5" s="1"/>
  <c r="AX18" i="5"/>
  <c r="BR38" i="5"/>
  <c r="AY19" i="5"/>
  <c r="BS42" i="5" l="1"/>
  <c r="BQ2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Fredrik Juréen</author>
  </authors>
  <commentList>
    <comment ref="C3" authorId="0" shapeId="0" xr:uid="{9323BBE2-4CAA-3142-A0BA-EB0D16AC6354}">
      <text>
        <r>
          <rPr>
            <sz val="10"/>
            <color rgb="FF000000"/>
            <rFont val="Tahoma"/>
            <family val="2"/>
          </rPr>
          <t>Load default values for all input fields. Useful for previewing purposes.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Fredrik Juréen</author>
    <author/>
  </authors>
  <commentList>
    <comment ref="Z4" authorId="0" shapeId="0" xr:uid="{7AF27E14-0BB1-6F4B-B679-664AC8CF5234}">
      <text>
        <r>
          <rPr>
            <b/>
            <sz val="10"/>
            <color rgb="FF000000"/>
            <rFont val="Tahoma"/>
            <family val="2"/>
          </rPr>
          <t>Fredrik Juréen:</t>
        </r>
        <r>
          <rPr>
            <sz val="10"/>
            <color rgb="FF000000"/>
            <rFont val="Tahoma"/>
            <family val="2"/>
          </rPr>
          <t xml:space="preserve">
</t>
        </r>
        <r>
          <rPr>
            <sz val="10"/>
            <color rgb="FF000000"/>
            <rFont val="Tahoma"/>
            <family val="2"/>
          </rPr>
          <t xml:space="preserve">1 = No Discount
</t>
        </r>
        <r>
          <rPr>
            <sz val="10"/>
            <color rgb="FF000000"/>
            <rFont val="Tahoma"/>
            <family val="2"/>
          </rPr>
          <t xml:space="preserve">2 = Apply to Item
</t>
        </r>
        <r>
          <rPr>
            <sz val="10"/>
            <color rgb="FF000000"/>
            <rFont val="Tahoma"/>
            <family val="2"/>
          </rPr>
          <t>3 = Apply to Subtotal</t>
        </r>
      </text>
    </comment>
    <comment ref="AJ4" authorId="0" shapeId="0" xr:uid="{88BB19D2-6943-0C40-B18F-7C54E16E5920}">
      <text>
        <r>
          <rPr>
            <b/>
            <sz val="10"/>
            <color rgb="FF000000"/>
            <rFont val="Tahoma"/>
            <family val="2"/>
          </rPr>
          <t>Fredrik Juréen:</t>
        </r>
        <r>
          <rPr>
            <sz val="10"/>
            <color rgb="FF000000"/>
            <rFont val="Tahoma"/>
            <family val="2"/>
          </rPr>
          <t xml:space="preserve">
</t>
        </r>
        <r>
          <rPr>
            <sz val="10"/>
            <color rgb="FF000000"/>
            <rFont val="Tahoma"/>
            <family val="2"/>
          </rPr>
          <t xml:space="preserve">1 = Percentage
</t>
        </r>
        <r>
          <rPr>
            <sz val="10"/>
            <color rgb="FF000000"/>
            <rFont val="Tahoma"/>
            <family val="2"/>
          </rPr>
          <t xml:space="preserve">2 = Custom Discount Amount
</t>
        </r>
        <r>
          <rPr>
            <sz val="10"/>
            <color rgb="FF000000"/>
            <rFont val="Tahoma"/>
            <family val="2"/>
          </rPr>
          <t>3 = Custom Final Price</t>
        </r>
      </text>
    </comment>
    <comment ref="AK4" authorId="0" shapeId="0" xr:uid="{70D39CF3-116D-E445-A110-06AC7884EE45}">
      <text>
        <r>
          <rPr>
            <b/>
            <sz val="10"/>
            <color rgb="FF000000"/>
            <rFont val="Tahoma"/>
            <family val="2"/>
          </rPr>
          <t>Fredrik Juréen:</t>
        </r>
        <r>
          <rPr>
            <sz val="10"/>
            <color rgb="FF000000"/>
            <rFont val="Tahoma"/>
            <family val="2"/>
          </rPr>
          <t xml:space="preserve">
</t>
        </r>
        <r>
          <rPr>
            <sz val="10"/>
            <color rgb="FF000000"/>
            <rFont val="Tahoma"/>
            <family val="2"/>
          </rPr>
          <t>Without Discount</t>
        </r>
      </text>
    </comment>
    <comment ref="AM4" authorId="0" shapeId="0" xr:uid="{26EE75DB-D3EC-124C-A3B3-002769E39FFC}">
      <text>
        <r>
          <rPr>
            <b/>
            <sz val="10"/>
            <color rgb="FF000000"/>
            <rFont val="Tahoma"/>
            <family val="2"/>
          </rPr>
          <t>Fredrik Juréen:</t>
        </r>
        <r>
          <rPr>
            <sz val="10"/>
            <color rgb="FF000000"/>
            <rFont val="Tahoma"/>
            <family val="2"/>
          </rPr>
          <t xml:space="preserve">
</t>
        </r>
        <r>
          <rPr>
            <sz val="10"/>
            <color rgb="FF000000"/>
            <rFont val="Tahoma"/>
            <family val="2"/>
          </rPr>
          <t>With Discount applied to Item if present</t>
        </r>
      </text>
    </comment>
    <comment ref="AN4" authorId="0" shapeId="0" xr:uid="{5EAD9D45-B8E3-894F-BD08-25AB59C97945}">
      <text>
        <r>
          <rPr>
            <b/>
            <sz val="10"/>
            <color rgb="FF000000"/>
            <rFont val="Tahoma"/>
            <family val="2"/>
          </rPr>
          <t>Fredrik Juréen:</t>
        </r>
        <r>
          <rPr>
            <sz val="10"/>
            <color rgb="FF000000"/>
            <rFont val="Tahoma"/>
            <family val="2"/>
          </rPr>
          <t xml:space="preserve">
</t>
        </r>
        <r>
          <rPr>
            <sz val="10"/>
            <color rgb="FF000000"/>
            <rFont val="Tahoma"/>
            <family val="2"/>
          </rPr>
          <t xml:space="preserve">Subtotal after Discount if present, applied to Items or Total.
</t>
        </r>
        <r>
          <rPr>
            <sz val="10"/>
            <color rgb="FF000000"/>
            <rFont val="Tahoma"/>
            <family val="2"/>
          </rPr>
          <t>BEFORE VAT</t>
        </r>
      </text>
    </comment>
    <comment ref="AB7" authorId="1" shapeId="0" xr:uid="{00000000-0006-0000-0400-000001000000}">
      <text>
        <r>
          <rPr>
            <sz val="10"/>
            <color rgb="FF000000"/>
            <rFont val="Arial"/>
            <family val="2"/>
          </rPr>
          <t xml:space="preserve">Setting a discount in percentage will override the list price
</t>
        </r>
        <r>
          <rPr>
            <sz val="10"/>
            <color rgb="FF000000"/>
            <rFont val="Arial"/>
            <family val="2"/>
          </rPr>
          <t xml:space="preserve">	-Mattias Hjortzberg</t>
        </r>
      </text>
    </comment>
    <comment ref="AE7" authorId="1" shapeId="0" xr:uid="{00000000-0006-0000-0400-000002000000}">
      <text>
        <r>
          <rPr>
            <sz val="10"/>
            <color rgb="FF000000"/>
            <rFont val="Arial"/>
            <family val="2"/>
          </rPr>
          <t xml:space="preserve">Setting a discount in EUR will override the list price, as well as discount given as percentage
</t>
        </r>
        <r>
          <rPr>
            <sz val="10"/>
            <color rgb="FF000000"/>
            <rFont val="Arial"/>
            <family val="2"/>
          </rPr>
          <t xml:space="preserve">	-Mattias Hjortzberg</t>
        </r>
      </text>
    </comment>
    <comment ref="AH7" authorId="1" shapeId="0" xr:uid="{00000000-0006-0000-0400-000003000000}">
      <text>
        <r>
          <rPr>
            <sz val="10"/>
            <color rgb="FF000000"/>
            <rFont val="Arial"/>
            <family val="2"/>
          </rPr>
          <t xml:space="preserve">Setting a new price will override the list price, as well as other given discounts
</t>
        </r>
        <r>
          <rPr>
            <sz val="10"/>
            <color rgb="FF000000"/>
            <rFont val="Arial"/>
            <family val="2"/>
          </rPr>
          <t xml:space="preserve">	-Mattias Hjortzberg</t>
        </r>
      </text>
    </comment>
    <comment ref="AK18" authorId="0" shapeId="0" xr:uid="{57C7D8D4-15A0-6546-AE34-3C3BF87471E0}">
      <text>
        <r>
          <rPr>
            <b/>
            <sz val="10"/>
            <color rgb="FF000000"/>
            <rFont val="Tahoma"/>
            <family val="2"/>
          </rPr>
          <t>Fredrik Juréen:</t>
        </r>
        <r>
          <rPr>
            <sz val="10"/>
            <color rgb="FF000000"/>
            <rFont val="Tahoma"/>
            <family val="2"/>
          </rPr>
          <t xml:space="preserve">
</t>
        </r>
        <r>
          <rPr>
            <sz val="10"/>
            <color rgb="FF000000"/>
            <rFont val="Tahoma"/>
            <family val="2"/>
          </rPr>
          <t>Used for calculating discount amount</t>
        </r>
      </text>
    </comment>
  </commentList>
</comments>
</file>

<file path=xl/sharedStrings.xml><?xml version="1.0" encoding="utf-8"?>
<sst xmlns="http://schemas.openxmlformats.org/spreadsheetml/2006/main" count="906" uniqueCount="600">
  <si>
    <t>Id</t>
  </si>
  <si>
    <t>Name</t>
  </si>
  <si>
    <t>Sales order demo</t>
  </si>
  <si>
    <t>CSS</t>
  </si>
  <si>
    <t>@import url('https://fonts.googleapis.com/css2?family=Montserrat:wght@400&amp;display=swap'); #molnifyAppBody { background-size: cover; background-attachment: fixed; } #molnifyAppHtml h1 {font-family: 13px/20px 'PTSansRegular', Arial, Helvetica, sans-serif !important; color: #ffffff !important; } body {background-color: #ffffff !important;} #molnifyAppHtml .header .container-fluid {background-color: #006598 !important;} .info-text-below-divider &gt; *{ padding-top: 0 !important; } #molnifyAppHtml .content {margin-left: 0px !important; } #molnifyAppHtml .panel-title {color: #ffffff ; font-weight: bold; text-transform: uppercase;} #molnifyAppHtml .panel-heading { background-color: #006598 !important; } #molnifyAppHtml .panel-body, #molnifyAppHtml .tab-content{ background-color: #ffffff !important; } #molnifyAppHtml .btn-circle{border-radius: 0px !important;} #molnifyAppHtml .btn-default { background-color: #006598 !important; border-color :#ffffff !important; } #molnifyAppHtml .btn-default &gt; span { color: #ffffff !important; } #molnifyAppHtml .btn-default.active { background-color: #006598 !important; } #molnifyAppHtml .btn-default.active &gt; span { color: #000000 !important; } #molnifyAppHtml .btn.btn-sm.btn-icon {background-color: #006598 !important; color: #ffffff !important;} #molnifyAppHtml .option-set &gt; *:not(.active) { background-color: #ffffff !important; border-color: #000000 !important; color: #000000 !important; } #molnifyAppHtml .option-set &gt; .active { background-color: #006598 !important; border-color: #000000 !important; color: #ffffff !important;} #molnifyAppHtml .molnifyActionButton { background-color: #006598 !important; border-color: #000000 !important; color: #ffffff !important; } #molnifyAppHtml .btn-xs.btn-icon { color: #ffffff !important; background-color: #006598 !important;} #molnifyAppHtml .switchery-options { color: #006598 !important; } #molnifyAppHtml .irs-min, #molnifyAppHtml .irs-max { background: #006598 !important; color: #ffffff !important; } #molnifyAppHtml .irs-single { background: #006598 !important; color: #ffffff !important; } #molnifyAppHtml .stats-info {color: #ffffff ;} #molnifyAppHtml .stats-info h4 {color: #ffffff !important; } #molnifyAppHtml .bg-green { background: #990000 !important; } #molnifyAppHtml .widget-stats .stats-icon { color: #ffffff !important; } #molnifyAppHtml .panel {box-shadow: 0px 0px 1px 1px #000000 } #molnifyAppHtml .nav-tabs &gt; li &gt; a {color: #ffffff ; font-weight: bold;} #molnifyAppHtml .nav-tabs &gt; li &gt; a:hover {color: #000000 !important; font-weight: bold; background-color: #ffffff !important; } #molnifyAppHtml .nav-tabs &gt; li.active &gt; a:not(:hover) {color: #000000 !important; font-weight: bold; background-color: #ffffff !important; } #molnifyAppHtml .prev-button .text-inverse:focus i, #molnifyAppHtml .prev-button .text-inverse:hover i, #molnifyAppHtml .next-button .text-inverse:focus i, #molnifyAppHtml .next-button .text-inverse:hover i { color: #000000 !important; background-color: #ffffff !important; } #molnifyAppHtml span.irs-bar, #molnifyAppHtml span.irs-bar-edge { background: #006598; } #molnifyAppHtml span.irs-line-left, #molnifyAppHtml span.irs-line-mid, #molnifyAppHtml span.irs-line-right { background: #b2cbd7; } #molnifyAppHtml { font-family: 'montserrat' !important; font-weight: normal !important; text-transform: none !important; } #molnifyAppHtml .chart-series0 { color: #006598 } #molnifyAppHtml .chart-series1 { color: #990000 } #molnifyAppHtml .chart-series2 { color: #009969 } #molnifyAppHtml .chart-series3 { color: #999400 } #molnifyAppHtml .chart-series4 { color: #990300 }</t>
  </si>
  <si>
    <t>InputPanelTitle</t>
  </si>
  <si>
    <t>Input</t>
  </si>
  <si>
    <t>OutputPanelTitle</t>
  </si>
  <si>
    <t>Result</t>
  </si>
  <si>
    <t>EnabledForSave</t>
  </si>
  <si>
    <t>LogoURL</t>
  </si>
  <si>
    <t>https://storage.googleapis.com/molnify-media/fileuploaddemo/9af4bic2vbsb241rvnu6bn8fho7n6s8uu01r5e3a2phg9oh8o3fj-molnify_logo_med_symbol_vit.png</t>
  </si>
  <si>
    <t>EnabledForReset</t>
  </si>
  <si>
    <t>InputPanelSmall</t>
  </si>
  <si>
    <t>InputPanelFixed</t>
  </si>
  <si>
    <t>ParseAllSheets</t>
  </si>
  <si>
    <t>longinfotext;tab=About</t>
  </si>
  <si>
    <t>&lt;h4&gt;Turn your product list into a complete ordering system&lt;/h4&gt;</t>
  </si>
  <si>
    <t>This app is built so that it can be easily modified and contain products other than those that are embedded in it now. In the app you can search for products, enter numbers, give discounts in different ways and quickly get access to product information. If updates occur, eg a price adjustment, this happens simultaneously for all users without having to download any new version - the latest version of the app is always the one you find online. &lt;br&gt; &lt;br&gt; The app can be used on a computer, &lt;a href="https://app.molnify.com/test-devices/salesorderapp_eng" target="_blank"&gt;mobile phone or tablet.&lt;/a&gt;</t>
  </si>
  <si>
    <t>&lt;h4&gt;How to use the order app&lt;/h4&gt;</t>
  </si>
  <si>
    <t>Start by clicking on the Customer tab and fill in your customers contact information and then proceed to the Order tab. Here you can search and add products, provide different discounts and also add individual notes.</t>
  </si>
  <si>
    <t>&lt;br&gt;</t>
  </si>
  <si>
    <t>When your order is done, you can save it by clicking the Save or Update button located at the bottom left side of the page. The order will be named after the customers name and today's date. If you enter an email address, the an email will also be sent to that email address when you save the order.&lt;br&gt;</t>
  </si>
  <si>
    <t>This app was created in Excel with basic Excel formulas and uploaded to Molnify as an app. It can be quickly changed with other products, but also other logos, colors and fonts. &lt;br&gt;</t>
  </si>
  <si>
    <t>&lt;h4&gt;Create your own order app&lt;/h4&gt;Do you have a product list in Excel and would like to look at the possibilities of having an order application for your company? Register for a free 14-day trial account at &lt;a href="https://app.molnify.com" target="blank"&gt; app.molnify.com&lt;/a&gt;. Make sure to also visit &lt;a href="https://youtube.com/c/molnify/videos" target="blank"&gt; our YouTube channel&lt;/a&gt; for some video tutorials to get you started! &lt;br&gt; &lt;br&gt;</t>
  </si>
  <si>
    <t>&lt;iframe width="373" height="210" src="https://www.youtube.com/embed/eT-ZCIb2wqE" frameborder="0" allow="autoplay; encrypted-media" allowfullscreen&gt;&lt;/iframe&gt;</t>
  </si>
  <si>
    <t>&lt;h4&gt;Visit Molnify through our social channels&lt;/h4&gt;</t>
  </si>
  <si>
    <t>&lt;ul&gt;&lt;li&gt;</t>
  </si>
  <si>
    <t>&lt;a href='</t>
  </si>
  <si>
    <t>https://www.linkedin.com/company/molnify</t>
  </si>
  <si>
    <t>&lt;li&gt;</t>
  </si>
  <si>
    <t>https://www.facebook.com/molnifyapps</t>
  </si>
  <si>
    <t>https://www.youtube.com/c/molnify</t>
  </si>
  <si>
    <t>Contact person</t>
  </si>
  <si>
    <t>E-mail</t>
  </si>
  <si>
    <t>Telephone</t>
  </si>
  <si>
    <t>Date</t>
  </si>
  <si>
    <t>Note</t>
  </si>
  <si>
    <t>The name of the scenario</t>
  </si>
  <si>
    <t>hidden</t>
  </si>
  <si>
    <t>Today's date</t>
  </si>
  <si>
    <t>Current scenario</t>
  </si>
  <si>
    <t>variable=molnifyCurrentScenario;hidden</t>
  </si>
  <si>
    <t>user</t>
  </si>
  <si>
    <t>type</t>
  </si>
  <si>
    <t>multiple</t>
  </si>
  <si>
    <t>ScenarioSave</t>
  </si>
  <si>
    <t>email</t>
  </si>
  <si>
    <t>title</t>
  </si>
  <si>
    <t>Save</t>
  </si>
  <si>
    <t>oldName</t>
  </si>
  <si>
    <t>to</t>
  </si>
  <si>
    <t>Alerttext</t>
  </si>
  <si>
    <t>You have saved your data!</t>
  </si>
  <si>
    <t>newName</t>
  </si>
  <si>
    <t>from</t>
  </si>
  <si>
    <t>Molnify examples save scenario</t>
  </si>
  <si>
    <t>private</t>
  </si>
  <si>
    <t>subject</t>
  </si>
  <si>
    <t>You saved an order!</t>
  </si>
  <si>
    <t>add</t>
  </si>
  <si>
    <t>contentHTML</t>
  </si>
  <si>
    <t>showifcell</t>
  </si>
  <si>
    <t>saveandemail!C28</t>
  </si>
  <si>
    <t>name</t>
  </si>
  <si>
    <t>showifvalue</t>
  </si>
  <si>
    <t>successRefreshScenarioList</t>
  </si>
  <si>
    <t>Update</t>
  </si>
  <si>
    <t>You have updated your data!</t>
  </si>
  <si>
    <t>change</t>
  </si>
  <si>
    <t>Scenario saved?</t>
  </si>
  <si>
    <t>Margin</t>
  </si>
  <si>
    <t>List price</t>
  </si>
  <si>
    <t>Quantity</t>
  </si>
  <si>
    <t xml:space="preserve">Net price </t>
  </si>
  <si>
    <t>helper cell</t>
  </si>
  <si>
    <t>Product</t>
  </si>
  <si>
    <t>Net price</t>
  </si>
  <si>
    <t>table</t>
  </si>
  <si>
    <t>Pick product</t>
  </si>
  <si>
    <t>tab=Order</t>
  </si>
  <si>
    <t>Apply discount</t>
  </si>
  <si>
    <t>Discount in %</t>
  </si>
  <si>
    <t>Discount in EUR</t>
  </si>
  <si>
    <t>Set new price</t>
  </si>
  <si>
    <t>Description</t>
  </si>
  <si>
    <t>Manufacturer</t>
  </si>
  <si>
    <t>Country</t>
  </si>
  <si>
    <t>Picture</t>
  </si>
  <si>
    <t>Stim</t>
  </si>
  <si>
    <t>mattis pulvinar nulla pede ullamcorper augue a suscipit nulla elit ac nulla sed vel enim sit amet nunc viverra dapibus nulla suscipit ligula in lacus curabitur at ipsum ac tellus semper interdum mauris ullamcorper purus sit amet nulla quisque arcu libero</t>
  </si>
  <si>
    <t>Jast-Willms</t>
  </si>
  <si>
    <t>NO</t>
  </si>
  <si>
    <t>https://picsum.photos/id/1/200/300</t>
  </si>
  <si>
    <t>Tin</t>
  </si>
  <si>
    <t>vivamus metus arcu adipiscing molestie hendrerit at vulputate vitae nisl aenean lectus pellentesque eget nunc donec quis orci eget orci vehicula condimentum curabitur in libero ut massa volutpat convallis morbi odio odio</t>
  </si>
  <si>
    <t>McCullough LLC</t>
  </si>
  <si>
    <t>FI</t>
  </si>
  <si>
    <t>https://picsum.photos/id/2/200/300</t>
  </si>
  <si>
    <t>Alphazap</t>
  </si>
  <si>
    <t>luctus et ultrices posuere cubilia curae mauris viverra diam vitae quam suspendisse potenti nullam porttitor lacus at turpis donec posuere metus vitae ipsum aliquam non mauris morbi non</t>
  </si>
  <si>
    <t>Herman-Pacocha</t>
  </si>
  <si>
    <t>DK</t>
  </si>
  <si>
    <t>https://picsum.photos/id/3/200/300</t>
  </si>
  <si>
    <t>Greenlam</t>
  </si>
  <si>
    <t>curabitur convallis duis consequat dui nec nisi volutpat eleifend donec ut dolor morbi vel lectus in quam fringilla rhoncus mauris enim leo rhoncus sed vestibulum sit amet cursus id turpis integer aliquet massa id lobortis convallis tortor risus dapibus augue vel accumsan tellus nisi eu orci mauris lacinia sapien quis libero nullam sit</t>
  </si>
  <si>
    <t>Simonis-Rutherford</t>
  </si>
  <si>
    <t>https://picsum.photos/id/4/200/300</t>
  </si>
  <si>
    <t>Fintone</t>
  </si>
  <si>
    <t>in hac habitasse platea dictumst etiam faucibus cursus urna ut tellus nulla ut erat id mauris vulputate elementum nullam varius nulla facilisi cras non velit nec nisi vulputate nonummy maecenas tincidunt lacus at velit vivamus vel nulla eget eros elementum pellentesque quisque porta volutpat erat quisque erat eros viverra eget congue eget semper rutrum nulla nunc purus phasellus in felis donec semper sapien a libero nam dui proin leo odio porttitor id consequat in consequat ut nulla sed accumsan felis ut at dolor quis odio consequat varius integer ac leo pellentesque ultrices mattis odio donec vitae nisi nam ultrices libero non mattis pulvinar nulla pede ullamcorper augue a suscipit nulla elit ac nulla sed vel enim sit amet</t>
  </si>
  <si>
    <t>Hodkiewicz, Jacobson and Carroll</t>
  </si>
  <si>
    <t>https://picsum.photos/id/5/200/300</t>
  </si>
  <si>
    <t>Ventosanzap</t>
  </si>
  <si>
    <t>id ligula suspendisse ornare consequat lectus in est risus auctor sed tristique in tempus sit amet sem fusce consequat nulla nisl nunc nisl duis bibendum felis sed interdum venenatis turpis enim blandit mi in porttitor pede justo eu massa donec dapibus duis at velit eu est congue elementum in hac habitasse platea dictumst morbi vestibulum velit id pretium iaculis diam erat fermentum justo nec condimentum neque sapien placerat ante nulla justo aliquam quis turpis eget elit sodales scelerisque mauris sit amet eros suspendisse accumsan tortor quis turpis sed ante vivamus tortor duis mattis egestas metus aenean fermentum</t>
  </si>
  <si>
    <t>Wilderman, Cassin and Koelpin</t>
  </si>
  <si>
    <t>https://picsum.photos/id/6/200/300</t>
  </si>
  <si>
    <t>Biodex</t>
  </si>
  <si>
    <t>id massa id nisl venenatis lacinia aenean sit amet justo morbi ut odio cras mi pede malesuada in imperdiet et commodo vulputate justo in blandit ultrices enim lorem ipsum dolor sit amet consectetuer adipiscing elit proin interdum mauris non ligula pellentesque ultrices phasellus id sapien in sapien iaculis congue vivamus metus arcu adipiscing molestie hendrerit at vulputate vitae nisl aenean lectus pellentesque eget nunc donec quis orci eget orci vehicula condimentum curabitur in libero ut massa volutpat convallis morbi odio odio</t>
  </si>
  <si>
    <t>Rau, Gleason and Nitzsche</t>
  </si>
  <si>
    <t>SE</t>
  </si>
  <si>
    <t>https://picsum.photos/id/7/200/300</t>
  </si>
  <si>
    <t>Duobam</t>
  </si>
  <si>
    <t>convallis morbi odio odio elementum eu interdum eu tincidunt in leo maecenas pulvinar lobortis est phasellus sit amet erat nulla tempus vivamus in felis eu sapien cursus vestibulum proin eu mi nulla ac enim in tempor turpis nec euismod scelerisque quam turpis adipiscing lorem vitae mattis nibh ligula nec sem duis aliquam convallis nunc proin at turpis a pede posuere nonummy integer non velit donec diam</t>
  </si>
  <si>
    <t>Waters Group</t>
  </si>
  <si>
    <t>https://picsum.photos/id/8/200/300</t>
  </si>
  <si>
    <t>Trippledex</t>
  </si>
  <si>
    <t>proin risus praesent lectus vestibulum quam sapien varius ut blandit non interdum in ante vestibulum ante ipsum primis in faucibus orci luctus et ultrices posuere cubilia curae duis faucibus accumsan odio curabitur convallis duis consequat dui nec nisi volutpat eleifend donec ut dolor morbi vel lectus in quam fringilla rhoncus mauris enim leo rhoncus sed</t>
  </si>
  <si>
    <t>Nitzsche-Steuber</t>
  </si>
  <si>
    <t>https://picsum.photos/id/9/200/300</t>
  </si>
  <si>
    <t>Toughjoyfax</t>
  </si>
  <si>
    <t>consectetuer adipiscing elit proin risus praesent lectus vestibulum quam sapien varius ut blandit non interdum in ante vestibulum ante ipsum primis in faucibus orci luctus et ultrices posuere cubilia curae duis faucibus accumsan odio curabitur convallis duis consequat dui nec nisi volutpat eleifend donec ut</t>
  </si>
  <si>
    <t>Witting LLC</t>
  </si>
  <si>
    <t>https://picsum.photos/id/10/200/300</t>
  </si>
  <si>
    <t>Voltsillam</t>
  </si>
  <si>
    <t>cubilia curae duis faucibus accumsan odio curabitur convallis duis consequat dui nec nisi volutpat eleifend donec ut</t>
  </si>
  <si>
    <t>Willms, Kris and Padberg</t>
  </si>
  <si>
    <t>https://picsum.photos/id/11/200/300</t>
  </si>
  <si>
    <t>Overhold</t>
  </si>
  <si>
    <t>pretium quis lectus suspendisse potenti in eleifend quam a odio in hac habitasse platea dictumst maecenas ut massa quis augue luctus tincidunt nulla mollis molestie lorem quisque ut erat curabitur gravida nisi at nibh in hac habitasse platea dictumst aliquam augue quam sollicitudin vitae consectetuer eget rutrum at lorem integer tincidunt ante vel ipsum praesent blandit lacinia erat vestibulum sed magna at nunc commodo placerat praesent blandit nam nulla integer pede justo lacinia eget</t>
  </si>
  <si>
    <t>Jast-Wiza</t>
  </si>
  <si>
    <t>https://picsum.photos/id/12/200/300</t>
  </si>
  <si>
    <t>Sub-Ex</t>
  </si>
  <si>
    <t>neque aenean auctor gravida sem praesent id massa id nisl venenatis lacinia aenean sit amet justo morbi ut odio cras mi pede malesuada in imperdiet et commodo vulputate justo in blandit ultrices enim lorem ipsum dolor sit amet consectetuer adipiscing elit proin interdum mauris non ligula pellentesque ultrices phasellus id sapien in sapien iaculis congue vivamus metus arcu adipiscing molestie hendrerit at vulputate vitae nisl aenean lectus pellentesque eget nunc donec quis orci eget orci vehicula condimentum curabitur in libero ut massa volutpat convallis morbi odio odio elementum eu interdum eu tincidunt in leo maecenas pulvinar lobortis est phasellus sit amet erat nulla tempus vivamus in felis eu sapien cursus vestibulum proin eu mi nulla ac enim in tempor turpis</t>
  </si>
  <si>
    <t>Ortiz and Sons</t>
  </si>
  <si>
    <t>https://picsum.photos/id/13/200/300</t>
  </si>
  <si>
    <t>Asoka</t>
  </si>
  <si>
    <t>luctus et ultrices posuere cubilia curae duis faucibus accumsan odio curabitur convallis duis consequat dui nec nisi volutpat eleifend donec ut dolor morbi vel lectus in quam fringilla rhoncus mauris enim leo rhoncus sed vestibulum sit amet cursus id turpis integer aliquet massa id lobortis convallis tortor risus dapibus augue vel accumsan tellus nisi eu orci</t>
  </si>
  <si>
    <t>Trantow LLC</t>
  </si>
  <si>
    <t>https://picsum.photos/id/14/200/300</t>
  </si>
  <si>
    <t>Sonair</t>
  </si>
  <si>
    <t>quam pede lobortis ligula sit amet eleifend pede libero quis orci nullam molestie nibh in lectus pellentesque at nulla suspendisse potenti cras in purus eu magna vulputate luctus cum sociis natoque penatibus et magnis dis parturient montes nascetur ridiculus mus vivamus vestibulum sagittis sapien cum sociis natoque penatibus et magnis dis parturient montes nascetur ridiculus mus etiam vel augue vestibulum rutrum rutrum neque aenean auctor gravida sem praesent id massa id nisl venenatis lacinia aenean sit amet justo morbi ut odio cras mi pede malesuada in imperdiet et commodo vulputate justo in blandit ultrices enim lorem ipsum dolor sit amet consectetuer adipiscing elit proin interdum mauris non ligula pellentesque ultrices phasellus id</t>
  </si>
  <si>
    <t>Moen Inc</t>
  </si>
  <si>
    <t>https://picsum.photos/id/15/200/300</t>
  </si>
  <si>
    <t>Tresom</t>
  </si>
  <si>
    <t>blandit ultrices enim lorem ipsum dolor sit amet consectetuer adipiscing elit proin interdum mauris non ligula pellentesque ultrices phasellus id sapien in sapien iaculis congue vivamus metus arcu adipiscing molestie hendrerit at vulputate vitae nisl aenean lectus pellentesque eget nunc donec quis orci eget orci vehicula condimentum curabitur in libero ut massa volutpat convallis morbi odio odio elementum eu interdum eu tincidunt in leo maecenas pulvinar lobortis est phasellus sit amet erat nulla tempus vivamus in felis eu sapien cursus vestibulum proin eu mi nulla ac enim in tempor turpis nec euismod scelerisque quam</t>
  </si>
  <si>
    <t>Simonis, Schiller and Nikolaus</t>
  </si>
  <si>
    <t>https://picsum.photos/id/16/200/300</t>
  </si>
  <si>
    <t>Aerified</t>
  </si>
  <si>
    <t>risus praesent lectus vestibulum quam sapien varius ut blandit non interdum in ante vestibulum ante ipsum primis in faucibus orci luctus et ultrices posuere cubilia curae duis faucibus accumsan odio curabitur convallis duis consequat dui nec nisi volutpat eleifend donec ut dolor morbi vel lectus in quam fringilla rhoncus mauris enim leo rhoncus sed vestibulum</t>
  </si>
  <si>
    <t>Kub Group</t>
  </si>
  <si>
    <t>https://picsum.photos/id/17/200/300</t>
  </si>
  <si>
    <t>Flowdesk</t>
  </si>
  <si>
    <t>platea dictumst maecenas ut massa quis augue luctus tincidunt nulla mollis molestie lorem quisque ut erat curabitur gravida nisi at nibh in hac habitasse platea dictumst</t>
  </si>
  <si>
    <t>Gleichner, Schuppe and Heidenreich</t>
  </si>
  <si>
    <t>https://picsum.photos/id/18/200/300</t>
  </si>
  <si>
    <t>Otcom</t>
  </si>
  <si>
    <t>nullam varius nulla facilisi cras non velit nec nisi vulputate nonummy maecenas tincidunt lacus at velit vivamus vel nulla eget eros elementum pellentesque quisque porta volutpat erat quisque erat eros viverra eget congue eget semper rutrum nulla nunc purus phasellus in felis donec semper sapien a libero nam dui proin leo odio porttitor id consequat in consequat ut nulla sed accumsan felis ut at dolor quis odio consequat varius integer ac leo pellentesque ultrices mattis odio donec vitae nisi nam ultrices libero non mattis pulvinar nulla pede ullamcorper augue a suscipit nulla elit ac nulla</t>
  </si>
  <si>
    <t>Zulauf Group</t>
  </si>
  <si>
    <t>https://picsum.photos/id/19/200/300</t>
  </si>
  <si>
    <t>Flexidy</t>
  </si>
  <si>
    <t>sapien quis libero nullam sit amet turpis elementum ligula vehicula consequat morbi a ipsum integer a nibh in quis justo maecenas rhoncus aliquam lacus morbi quis tortor id nulla ultrices aliquet maecenas leo odio condimentum id luctus nec molestie sed justo pellentesque viverra pede ac diam cras pellentesque volutpat dui maecenas tristique est et tempus semper est quam pharetra magna ac consequat metus sapien ut nunc vestibulum ante ipsum primis in faucibus orci luctus et ultrices posuere cubilia curae mauris viverra diam vitae quam suspendisse</t>
  </si>
  <si>
    <t>Hackett LLC</t>
  </si>
  <si>
    <t>https://picsum.photos/id/20/200/300</t>
  </si>
  <si>
    <t>Cardify</t>
  </si>
  <si>
    <t>lacinia aenean sit amet justo morbi ut odio cras mi pede malesuada in imperdiet et commodo vulputate justo in blandit ultrices enim lorem ipsum dolor sit amet consectetuer adipiscing elit proin interdum mauris non ligula pellentesque ultrices phasellus id sapien in sapien iaculis congue vivamus metus arcu adipiscing molestie hendrerit at vulputate vitae nisl aenean lectus pellentesque eget nunc donec quis orci eget orci vehicula condimentum curabitur in libero ut massa volutpat convallis morbi odio odio elementum eu interdum eu tincidunt in leo maecenas pulvinar lobortis est phasellus sit amet</t>
  </si>
  <si>
    <t>Cummerata-Swift</t>
  </si>
  <si>
    <t>https://picsum.photos/id/21/200/300</t>
  </si>
  <si>
    <t>Mat Lam Tam</t>
  </si>
  <si>
    <t>amet eros suspendisse accumsan tortor quis turpis sed ante vivamus tortor duis mattis egestas metus aenean fermentum donec ut mauris eget massa tempor convallis nulla neque libero convallis eget eleifend luctus ultricies eu nibh quisque id justo sit amet sapien dignissim vestibulum vestibulum ante ipsum primis in faucibus orci luctus et ultrices posuere cubilia curae nulla dapibus dolor vel est donec odio justo sollicitudin ut suscipit a feugiat et eros vestibulum ac est lacinia nisi venenatis tristique fusce congue diam id ornare imperdiet sapien urna pretium nisl ut volutpat sapien arcu sed augue aliquam erat</t>
  </si>
  <si>
    <t>Davis Group</t>
  </si>
  <si>
    <t>https://picsum.photos/id/22/200/300</t>
  </si>
  <si>
    <t>Solarbreeze</t>
  </si>
  <si>
    <t>vestibulum quam sapien varius ut blandit non interdum in ante vestibulum ante ipsum primis in faucibus orci luctus et ultrices posuere cubilia curae duis faucibus accumsan odio curabitur convallis duis consequat dui nec nisi volutpat eleifend donec ut dolor morbi vel lectus in quam fringilla rhoncus mauris enim leo rhoncus sed vestibulum sit amet cursus id turpis integer aliquet massa id lobortis convallis tortor risus dapibus augue vel accumsan tellus nisi eu orci mauris lacinia sapien quis libero nullam sit amet turpis elementum ligula vehicula consequat morbi a ipsum integer a nibh in quis justo maecenas rhoncus aliquam lacus morbi quis tortor</t>
  </si>
  <si>
    <t>Mohr, Stracke and Monahan</t>
  </si>
  <si>
    <t>https://picsum.photos/id/23/200/300</t>
  </si>
  <si>
    <t>Y-Solowarm</t>
  </si>
  <si>
    <t>praesent id massa id nisl venenatis lacinia aenean sit amet justo morbi ut odio cras mi pede malesuada in imperdiet et commodo vulputate justo in blandit ultrices enim lorem ipsum dolor sit amet consectetuer adipiscing elit proin interdum mauris non ligula pellentesque ultrices phasellus id sapien in sapien iaculis congue vivamus metus arcu adipiscing molestie hendrerit at vulputate vitae nisl aenean lectus pellentesque eget nunc donec quis orci eget orci vehicula condimentum curabitur in libero ut massa volutpat convallis</t>
  </si>
  <si>
    <t>Greenholt-Volkman</t>
  </si>
  <si>
    <t>https://picsum.photos/id/24/200/300</t>
  </si>
  <si>
    <t>Fixflex</t>
  </si>
  <si>
    <t>in tempor turpis nec euismod scelerisque quam turpis adipiscing lorem vitae mattis nibh ligula nec sem duis aliquam convallis nunc proin at turpis a pede posuere nonummy integer non velit donec diam neque vestibulum eget vulputate ut ultrices vel augue vestibulum ante ipsum primis in faucibus orci luctus et ultrices posuere cubilia curae donec pharetra magna vestibulum aliquet ultrices erat tortor sollicitudin mi sit amet lobortis sapien sapien non mi integer ac neque duis bibendum</t>
  </si>
  <si>
    <t>Romaguera-Jast</t>
  </si>
  <si>
    <t>https://picsum.photos/id/25/200/300</t>
  </si>
  <si>
    <t>Transcof</t>
  </si>
  <si>
    <t>proin interdum mauris non ligula pellentesque ultrices phasellus id sapien in sapien iaculis congue vivamus metus arcu adipiscing molestie hendrerit at vulputate vitae nisl aenean lectus pellentesque eget nunc donec quis orci eget orci vehicula condimentum curabitur in libero ut massa volutpat convallis morbi odio odio elementum eu interdum eu tincidunt in leo maecenas pulvinar lobortis est phasellus sit amet erat nulla tempus vivamus</t>
  </si>
  <si>
    <t>Carter LLC</t>
  </si>
  <si>
    <t>https://picsum.photos/id/26/200/300</t>
  </si>
  <si>
    <t>Bitchip</t>
  </si>
  <si>
    <t>elit proin interdum mauris non ligula pellentesque ultrices phasellus id sapien in sapien iaculis congue vivamus metus arcu adipiscing molestie hendrerit at vulputate vitae nisl aenean lectus pellentesque eget nunc donec quis orci eget orci vehicula condimentum curabitur in libero ut massa volutpat convallis morbi odio odio elementum eu interdum eu tincidunt in leo maecenas pulvinar lobortis est phasellus sit amet erat nulla tempus vivamus in felis eu sapien cursus vestibulum proin eu mi nulla ac enim in tempor</t>
  </si>
  <si>
    <t>Steuber-Bayer</t>
  </si>
  <si>
    <t>https://picsum.photos/id/27/200/300</t>
  </si>
  <si>
    <t>Veribet</t>
  </si>
  <si>
    <t>quam fringilla rhoncus mauris enim leo rhoncus sed vestibulum sit amet cursus id turpis integer aliquet massa id lobortis convallis tortor risus dapibus augue vel accumsan tellus nisi eu orci mauris lacinia sapien quis libero nullam sit amet turpis elementum ligula vehicula consequat morbi a ipsum integer a nibh in quis justo maecenas rhoncus aliquam lacus morbi quis tortor id nulla ultrices aliquet maecenas leo odio condimentum id luctus nec molestie sed justo pellentesque viverra pede ac diam cras pellentesque</t>
  </si>
  <si>
    <t>Zemlak-Bayer</t>
  </si>
  <si>
    <t>https://picsum.photos/id/28/200/300</t>
  </si>
  <si>
    <t>Bytecard</t>
  </si>
  <si>
    <t>donec ut dolor morbi vel lectus in quam fringilla rhoncus mauris enim leo rhoncus sed vestibulum sit amet cursus id turpis integer aliquet massa id lobortis convallis tortor risus dapibus augue vel accumsan tellus nisi eu orci mauris lacinia sapien quis libero nullam sit amet turpis elementum ligula vehicula consequat morbi a ipsum integer a nibh in quis justo maecenas rhoncus aliquam lacus morbi quis tortor id nulla ultrices aliquet maecenas leo odio condimentum id luctus nec molestie sed justo pellentesque viverra pede ac diam cras pellentesque volutpat dui maecenas tristique est et tempus semper est quam pharetra magna ac consequat metus</t>
  </si>
  <si>
    <t>Schuster, Johnston and Simonis</t>
  </si>
  <si>
    <t>https://picsum.photos/id/29/200/300</t>
  </si>
  <si>
    <t>Y-find</t>
  </si>
  <si>
    <t>at turpis a pede posuere nonummy integer non velit donec diam neque vestibulum eget vulputate ut ultrices vel augue vestibulum ante ipsum primis in faucibus orci luctus et ultrices posuere cubilia curae donec pharetra magna vestibulum aliquet ultrices erat tortor sollicitudin mi sit amet lobortis sapien sapien non mi integer ac neque duis bibendum morbi non quam nec dui luctus rutrum nulla tellus in sagittis dui vel nisl duis ac nibh fusce lacus purus aliquet at feugiat non pretium quis lectus suspendisse potenti in eleifend quam a odio in hac habitasse platea dictumst maecenas ut massa quis augue luctus tincidunt nulla mollis</t>
  </si>
  <si>
    <t>Smitham, Morar and Barrows</t>
  </si>
  <si>
    <t>https://picsum.photos/id/30/200/300</t>
  </si>
  <si>
    <t>Tampflex</t>
  </si>
  <si>
    <t>vitae quam suspendisse potenti nullam porttitor lacus at turpis donec posuere metus vitae ipsum aliquam non mauris morbi non lectus aliquam sit amet diam in magna bibendum imperdiet nullam orci pede venenatis non sodales sed tincidunt eu felis fusce posuere felis sed lacus morbi sem mauris laoreet ut rhoncus aliquet pulvinar sed nisl nunc rhoncus dui vel sem sed sagittis nam congue risus semper porta volutpat quam pede lobortis ligula sit amet</t>
  </si>
  <si>
    <t>Morissette, Reinger and Douglas</t>
  </si>
  <si>
    <t>https://picsum.photos/id/31/200/300</t>
  </si>
  <si>
    <t>Opela</t>
  </si>
  <si>
    <t>in hac habitasse platea dictumst etiam faucibus cursus urna ut tellus nulla ut erat id mauris vulputate elementum nullam varius nulla facilisi cras non velit nec nisi vulputate nonummy maecenas tincidunt lacus at velit vivamus vel nulla eget eros elementum pellentesque quisque porta volutpat erat quisque erat eros viverra eget congue eget semper rutrum nulla nunc purus phasellus in felis donec semper sapien</t>
  </si>
  <si>
    <t>Denesik, Orn and Cormier</t>
  </si>
  <si>
    <t>https://picsum.photos/id/32/200/300</t>
  </si>
  <si>
    <t>Bamity</t>
  </si>
  <si>
    <t>eget eros elementum pellentesque quisque porta volutpat erat quisque erat eros viverra eget congue eget semper rutrum nulla nunc purus phasellus in felis donec semper sapien a libero nam dui proin leo odio porttitor id consequat in consequat ut nulla sed accumsan</t>
  </si>
  <si>
    <t>Denesik-Murphy</t>
  </si>
  <si>
    <t>https://picsum.photos/id/33/200/300</t>
  </si>
  <si>
    <t>Konklux</t>
  </si>
  <si>
    <t>quam pharetra magna ac consequat metus sapien ut nunc vestibulum ante ipsum primis in faucibus orci luctus et ultrices posuere cubilia curae mauris viverra diam vitae quam suspendisse potenti nullam porttitor lacus at turpis donec posuere metus vitae ipsum aliquam non mauris morbi non lectus aliquam sit amet diam in magna bibendum imperdiet nullam orci pede venenatis non sodales sed tincidunt eu felis fusce posuere felis sed lacus morbi sem mauris laoreet ut rhoncus aliquet pulvinar sed nisl nunc rhoncus dui vel sem sed sagittis nam</t>
  </si>
  <si>
    <t>Sporer-Cruickshank</t>
  </si>
  <si>
    <t>https://picsum.photos/id/34/200/300</t>
  </si>
  <si>
    <t>Matsoft</t>
  </si>
  <si>
    <t>platea dictumst morbi vestibulum velit id pretium iaculis diam erat fermentum justo nec condimentum neque sapien placerat ante nulla justo aliquam quis turpis eget elit sodales scelerisque mauris sit amet eros suspendisse accumsan tortor quis turpis sed ante vivamus tortor duis mattis egestas metus aenean fermentum donec ut mauris eget massa tempor convallis nulla neque libero convallis</t>
  </si>
  <si>
    <t>Bechtelar, Gerlach and Russel</t>
  </si>
  <si>
    <t>https://picsum.photos/id/35/200/300</t>
  </si>
  <si>
    <t>Bitwolf</t>
  </si>
  <si>
    <t>nisl ut volutpat sapien arcu sed augue aliquam erat volutpat in congue etiam justo etiam pretium iaculis justo in hac habitasse platea dictumst etiam faucibus cursus urna ut tellus nulla ut erat id mauris vulputate elementum nullam varius nulla facilisi cras non velit nec nisi vulputate nonummy maecenas tincidunt lacus at velit vivamus vel</t>
  </si>
  <si>
    <t>Jacobs and Sons</t>
  </si>
  <si>
    <t>https://picsum.photos/id/36/200/300</t>
  </si>
  <si>
    <t>Bigtax</t>
  </si>
  <si>
    <t>mi pede malesuada in imperdiet et commodo vulputate justo in blandit ultrices enim lorem ipsum dolor sit amet consectetuer adipiscing elit proin interdum mauris non ligula pellentesque ultrices phasellus id sapien in sapien iaculis congue vivamus metus arcu adipiscing molestie hendrerit at vulputate vitae nisl aenean lectus pellentesque eget nunc donec quis orci eget orci vehicula condimentum curabitur in libero ut massa volutpat convallis morbi odio odio elementum eu interdum eu tincidunt in leo maecenas pulvinar lobortis est phasellus sit amet erat nulla tempus vivamus in felis eu sapien cursus vestibulum proin eu mi nulla ac enim in tempor turpis nec euismod scelerisque quam turpis adipiscing lorem vitae</t>
  </si>
  <si>
    <t>Toy-McGlynn</t>
  </si>
  <si>
    <t>https://picsum.photos/id/37/200/300</t>
  </si>
  <si>
    <t>Keylex</t>
  </si>
  <si>
    <t>cursus vestibulum proin eu mi nulla ac enim in tempor turpis nec euismod scelerisque quam turpis adipiscing lorem vitae mattis nibh ligula nec sem duis aliquam convallis nunc</t>
  </si>
  <si>
    <t>Quigley LLC</t>
  </si>
  <si>
    <t>https://picsum.photos/id/38/200/300</t>
  </si>
  <si>
    <t>Span</t>
  </si>
  <si>
    <t>elit sodales scelerisque mauris sit amet eros suspendisse accumsan tortor quis turpis sed ante vivamus tortor duis mattis egestas metus aenean fermentum donec ut mauris eget massa tempor convallis nulla neque libero convallis eget eleifend luctus ultricies eu nibh quisque id justo sit amet sapien dignissim vestibulum vestibulum ante ipsum primis in faucibus orci luctus et ultrices posuere cubilia curae nulla dapibus dolor vel est donec odio justo sollicitudin ut suscipit a feugiat et eros vestibulum ac est lacinia nisi venenatis tristique fusce congue diam id ornare imperdiet sapien urna pretium nisl ut volutpat sapien arcu sed augue aliquam erat volutpat in congue etiam justo etiam pretium iaculis justo in</t>
  </si>
  <si>
    <t>Nikolaus Group</t>
  </si>
  <si>
    <t>https://picsum.photos/id/39/200/300</t>
  </si>
  <si>
    <t>Stringtough</t>
  </si>
  <si>
    <t>aliquet massa id lobortis convallis tortor risus dapibus augue vel accumsan tellus nisi eu orci mauris lacinia sapien quis libero nullam sit amet turpis elementum ligula vehicula consequat morbi a ipsum integer a nibh in quis justo maecenas rhoncus aliquam lacus morbi quis tortor id nulla ultrices aliquet maecenas leo odio condimentum id luctus nec molestie sed justo pellentesque viverra pede ac diam cras pellentesque volutpat dui maecenas tristique est et tempus semper est quam pharetra magna ac consequat metus sapien ut nunc vestibulum ante ipsum primis in faucibus orci luctus et ultrices posuere cubilia curae mauris viverra diam vitae quam suspendisse potenti nullam porttitor lacus</t>
  </si>
  <si>
    <t>Ziemann-Murphy</t>
  </si>
  <si>
    <t>https://picsum.photos/id/40/200/300</t>
  </si>
  <si>
    <t>Tres-Zap</t>
  </si>
  <si>
    <t>dapibus duis at velit eu est congue elementum in hac habitasse platea dictumst morbi vestibulum velit id pretium iaculis diam erat fermentum justo nec condimentum neque sapien placerat ante nulla justo aliquam quis turpis eget elit sodales scelerisque mauris sit amet eros suspendisse accumsan tortor quis turpis sed ante vivamus tortor</t>
  </si>
  <si>
    <t>Barton Group</t>
  </si>
  <si>
    <t>https://picsum.photos/id/41/200/300</t>
  </si>
  <si>
    <t>Alpha</t>
  </si>
  <si>
    <t>quam pharetra magna ac consequat metus sapien ut nunc vestibulum ante ipsum primis in faucibus orci luctus et ultrices posuere cubilia curae mauris viverra diam vitae quam suspendisse potenti nullam porttitor lacus at turpis donec posuere metus vitae ipsum</t>
  </si>
  <si>
    <t>Koelpin, Donnelly and Schamberger</t>
  </si>
  <si>
    <t>https://picsum.photos/id/42/200/300</t>
  </si>
  <si>
    <t>Daltfresh</t>
  </si>
  <si>
    <t>mollis molestie lorem quisque ut erat curabitur gravida nisi at nibh in hac habitasse platea dictumst aliquam augue quam sollicitudin vitae consectetuer eget rutrum at lorem integer tincidunt ante vel ipsum praesent blandit lacinia erat vestibulum sed magna at nunc commodo placerat praesent blandit nam nulla integer pede justo lacinia eget tincidunt eget tempus vel pede morbi porttitor lorem id ligula suspendisse ornare consequat lectus in est risus auctor sed tristique in tempus sit amet sem fusce consequat nulla nisl nunc nisl duis bibendum</t>
  </si>
  <si>
    <t>Renner-Mueller</t>
  </si>
  <si>
    <t>https://picsum.photos/id/43/200/300</t>
  </si>
  <si>
    <t>Rank</t>
  </si>
  <si>
    <t>est quam pharetra magna ac consequat metus sapien ut nunc vestibulum ante ipsum primis in faucibus orci luctus et ultrices posuere cubilia curae mauris viverra diam vitae quam suspendisse potenti nullam porttitor lacus at turpis donec posuere metus vitae ipsum aliquam non mauris morbi non lectus aliquam sit amet diam in magna bibendum imperdiet nullam orci pede venenatis non sodales sed tincidunt eu felis fusce posuere felis sed lacus morbi sem mauris laoreet ut rhoncus aliquet pulvinar sed nisl nunc rhoncus dui vel sem sed sagittis nam congue risus semper porta volutpat quam pede lobortis ligula sit amet</t>
  </si>
  <si>
    <t>Schuster, Wintheiser and Cremin</t>
  </si>
  <si>
    <t>https://picsum.photos/id/44/200/300</t>
  </si>
  <si>
    <t>Treeflex</t>
  </si>
  <si>
    <t>risus auctor sed tristique in tempus sit amet sem fusce consequat nulla nisl nunc nisl duis bibendum felis sed interdum venenatis turpis enim</t>
  </si>
  <si>
    <t>Simonis-Spinka</t>
  </si>
  <si>
    <t>https://picsum.photos/id/45/200/300</t>
  </si>
  <si>
    <t>Konklab</t>
  </si>
  <si>
    <t>eu magna vulputate luctus cum sociis natoque penatibus et magnis dis parturient montes nascetur ridiculus mus vivamus vestibulum sagittis sapien cum sociis natoque penatibus et magnis dis parturient montes nascetur ridiculus mus etiam vel augue vestibulum rutrum rutrum neque aenean auctor gravida sem praesent id massa id nisl venenatis lacinia aenean sit amet justo morbi ut odio cras mi pede malesuada in imperdiet et commodo vulputate justo in</t>
  </si>
  <si>
    <t>Feest and Sons</t>
  </si>
  <si>
    <t>https://picsum.photos/id/46/200/300</t>
  </si>
  <si>
    <t>Tempsoft</t>
  </si>
  <si>
    <t>placerat ante nulla justo aliquam quis turpis eget elit sodales scelerisque mauris sit amet eros suspendisse accumsan tortor quis turpis sed ante vivamus tortor duis mattis egestas metus aenean</t>
  </si>
  <si>
    <t>Goldner, Hahn and Strosin</t>
  </si>
  <si>
    <t>https://picsum.photos/id/47/200/300</t>
  </si>
  <si>
    <t>Quo Lux</t>
  </si>
  <si>
    <t>turpis enim blandit mi in porttitor pede justo eu massa donec dapibus duis at velit eu est congue elementum in hac habitasse platea dictumst morbi vestibulum velit id pretium iaculis diam erat fermentum justo nec condimentum neque sapien placerat ante nulla justo aliquam quis turpis eget elit sodales scelerisque mauris sit amet eros suspendisse accumsan tortor quis turpis sed ante vivamus tortor duis mattis egestas metus aenean fermentum donec ut mauris eget massa tempor convallis nulla neque libero convallis eget eleifend luctus</t>
  </si>
  <si>
    <t>Beier and Sons</t>
  </si>
  <si>
    <t>https://picsum.photos/id/48/200/300</t>
  </si>
  <si>
    <t>Lotlux</t>
  </si>
  <si>
    <t>mauris vulputate elementum nullam varius nulla facilisi cras non velit nec nisi vulputate nonummy maecenas tincidunt lacus at velit vivamus vel nulla eget eros elementum pellentesque quisque porta volutpat erat quisque erat eros viverra eget congue eget semper rutrum nulla nunc purus phasellus in felis donec semper sapien a libero nam dui proin leo odio porttitor id consequat in consequat ut nulla sed accumsan felis ut at dolor quis odio consequat varius integer</t>
  </si>
  <si>
    <t>Hauck LLC</t>
  </si>
  <si>
    <t>https://picsum.photos/id/49/200/300</t>
  </si>
  <si>
    <t>Cardguard</t>
  </si>
  <si>
    <t>lobortis ligula sit amet eleifend pede libero quis orci nullam molestie nibh in lectus pellentesque at nulla suspendisse potenti cras in purus eu magna vulputate luctus cum sociis natoque penatibus et magnis dis parturient montes nascetur ridiculus mus vivamus vestibulum sagittis sapien cum sociis natoque penatibus et magnis dis parturient montes nascetur ridiculus mus etiam vel augue vestibulum rutrum rutrum neque aenean auctor gravida sem praesent id massa id nisl venenatis lacinia aenean sit amet justo morbi ut odio cras mi pede malesuada in imperdiet et commodo vulputate justo in blandit ultrices enim lorem ipsum dolor sit amet consectetuer adipiscing elit proin interdum mauris non ligula pellentesque ultrices phasellus id sapien in sapien iaculis congue</t>
  </si>
  <si>
    <t>Lueilwitz and Sons</t>
  </si>
  <si>
    <t>https://picsum.photos/id/50/200/300</t>
  </si>
  <si>
    <t>Redhold</t>
  </si>
  <si>
    <t>vivamus in felis eu sapien cursus vestibulum proin eu mi nulla ac enim in tempor turpis nec euismod scelerisque quam turpis adipiscing lorem vitae mattis nibh ligula nec sem duis aliquam convallis nunc proin at turpis a pede posuere nonummy integer non velit donec diam neque vestibulum eget vulputate ut ultrices vel augue vestibulum ante ipsum primis in faucibus orci luctus et ultrices posuere cubilia curae donec pharetra magna vestibulum aliquet ultrices erat</t>
  </si>
  <si>
    <t>Auer LLC</t>
  </si>
  <si>
    <t>https://picsum.photos/id/51/200/300</t>
  </si>
  <si>
    <t>Job</t>
  </si>
  <si>
    <t>orci eget orci vehicula condimentum curabitur in libero ut massa volutpat convallis morbi odio odio elementum eu interdum eu tincidunt in leo maecenas pulvinar lobortis est phasellus sit amet erat nulla tempus vivamus in felis eu sapien cursus vestibulum proin eu mi nulla ac enim in tempor</t>
  </si>
  <si>
    <t>Gottlieb Group</t>
  </si>
  <si>
    <t>https://picsum.photos/id/52/200/300</t>
  </si>
  <si>
    <t>Vagram</t>
  </si>
  <si>
    <t>tincidunt in leo maecenas pulvinar lobortis est phasellus sit amet erat nulla tempus vivamus in felis eu sapien cursus vestibulum proin eu mi nulla ac enim in tempor turpis nec euismod scelerisque quam turpis adipiscing lorem vitae mattis nibh ligula nec sem duis aliquam convallis nunc proin at turpis a pede posuere nonummy integer non velit donec diam neque vestibulum eget vulputate ut ultrices vel augue vestibulum ante ipsum primis in faucibus orci luctus et ultrices posuere cubilia curae donec pharetra magna vestibulum aliquet ultrices erat tortor sollicitudin mi sit amet lobortis sapien sapien non</t>
  </si>
  <si>
    <t>Sauer, Jerde and Hessel</t>
  </si>
  <si>
    <t>https://picsum.photos/id/53/200/300</t>
  </si>
  <si>
    <t>Domainer</t>
  </si>
  <si>
    <t>donec diam neque vestibulum eget vulputate ut ultrices vel augue vestibulum ante ipsum primis in faucibus orci luctus et ultrices posuere cubilia curae donec pharetra magna vestibulum aliquet ultrices erat tortor sollicitudin mi sit amet lobortis sapien sapien non mi integer ac neque duis bibendum morbi non quam nec dui luctus rutrum nulla tellus in sagittis dui vel nisl duis ac nibh fusce lacus purus aliquet at feugiat non pretium quis lectus suspendisse potenti in eleifend quam a odio in hac habitasse platea dictumst maecenas ut massa quis augue luctus tincidunt nulla mollis molestie lorem quisque</t>
  </si>
  <si>
    <t>Jacobs-Paucek</t>
  </si>
  <si>
    <t>https://picsum.photos/id/54/200/300</t>
  </si>
  <si>
    <t>Wrapsafe</t>
  </si>
  <si>
    <t>a feugiat et eros vestibulum ac est lacinia nisi venenatis tristique fusce congue diam id ornare imperdiet sapien urna pretium nisl ut volutpat sapien arcu sed augue aliquam erat volutpat in congue etiam justo etiam pretium iaculis justo in hac habitasse platea dictumst etiam faucibus cursus urna ut tellus nulla ut erat id mauris vulputate elementum nullam varius nulla</t>
  </si>
  <si>
    <t>Nienow and Sons</t>
  </si>
  <si>
    <t>https://picsum.photos/id/55/200/300</t>
  </si>
  <si>
    <t>Stronghold</t>
  </si>
  <si>
    <t>convallis eget eleifend luctus ultricies eu nibh quisque id justo sit amet sapien dignissim vestibulum vestibulum ante ipsum primis in faucibus orci luctus et ultrices posuere</t>
  </si>
  <si>
    <t>Volkman Group</t>
  </si>
  <si>
    <t>https://picsum.photos/id/56/200/300</t>
  </si>
  <si>
    <t>Regrant</t>
  </si>
  <si>
    <t>morbi sem mauris laoreet ut rhoncus aliquet pulvinar sed nisl nunc rhoncus dui</t>
  </si>
  <si>
    <t>Collier and Sons</t>
  </si>
  <si>
    <t>https://picsum.photos/id/57/200/300</t>
  </si>
  <si>
    <t>Zaam-Dox</t>
  </si>
  <si>
    <t>sed accumsan felis ut at dolor quis odio consequat varius integer ac leo pellentesque ultrices mattis odio donec vitae nisi nam ultrices</t>
  </si>
  <si>
    <t>Champlin-Bauch</t>
  </si>
  <si>
    <t>https://picsum.photos/id/58/200/300</t>
  </si>
  <si>
    <t>Holdlamis</t>
  </si>
  <si>
    <t>nulla justo aliquam quis turpis eget elit sodales scelerisque mauris sit amet eros suspendisse accumsan tortor quis turpis sed ante vivamus tortor duis mattis egestas metus aenean fermentum donec ut mauris eget massa tempor convallis nulla neque libero convallis eget eleifend luctus ultricies eu nibh quisque id justo sit amet sapien dignissim vestibulum vestibulum ante ipsum primis in faucibus orci luctus et ultrices posuere cubilia curae nulla dapibus dolor vel est donec odio justo sollicitudin ut suscipit a feugiat et</t>
  </si>
  <si>
    <t>Wuckert Group</t>
  </si>
  <si>
    <t>https://picsum.photos/id/59/200/300</t>
  </si>
  <si>
    <t>Voyatouch</t>
  </si>
  <si>
    <t>consequat lectus in est risus auctor sed tristique in tempus sit amet sem fusce consequat nulla nisl nunc nisl duis bibendum felis sed interdum venenatis turpis enim blandit mi in porttitor pede justo eu massa donec dapibus duis at velit eu est congue elementum in hac habitasse platea dictumst morbi vestibulum velit id pretium iaculis diam erat fermentum justo nec condimentum neque sapien placerat ante nulla justo aliquam quis turpis eget elit sodales scelerisque mauris sit amet eros suspendisse accumsan tortor quis turpis sed ante vivamus tortor duis mattis egestas metus aenean fermentum donec ut mauris eget massa tempor convallis nulla neque libero convallis eget eleifend luctus ultricies eu nibh quisque id justo</t>
  </si>
  <si>
    <t>Brekke-Stracke</t>
  </si>
  <si>
    <t>https://picsum.photos/id/60/200/300</t>
  </si>
  <si>
    <t>Subin</t>
  </si>
  <si>
    <t>nonummy maecenas tincidunt lacus at velit vivamus vel nulla eget eros elementum pellentesque quisque porta volutpat erat quisque erat eros viverra eget congue eget semper rutrum nulla nunc purus phasellus in felis donec semper sapien a libero nam dui proin leo odio porttitor id consequat in consequat ut nulla sed accumsan felis ut at dolor quis odio consequat varius integer ac leo pellentesque ultrices mattis odio donec vitae nisi nam ultrices libero non</t>
  </si>
  <si>
    <t>Sanford and Sons</t>
  </si>
  <si>
    <t>https://picsum.photos/id/61/200/300</t>
  </si>
  <si>
    <t>Prodder</t>
  </si>
  <si>
    <t>luctus nec molestie sed justo pellentesque viverra pede ac diam cras pellentesque volutpat dui maecenas tristique est et tempus semper est quam pharetra magna ac consequat metus sapien ut nunc vestibulum ante ipsum primis in faucibus orci luctus et ultrices posuere cubilia curae mauris viverra</t>
  </si>
  <si>
    <t>Bergnaum Inc</t>
  </si>
  <si>
    <t>https://picsum.photos/id/62/200/300</t>
  </si>
  <si>
    <t>Zathin</t>
  </si>
  <si>
    <t>sit amet sem fusce consequat nulla nisl nunc nisl duis bibendum felis sed interdum venenatis turpis enim blandit mi in porttitor pede justo eu massa donec dapibus duis at velit eu est congue elementum in hac habitasse platea dictumst morbi vestibulum velit id pretium iaculis diam erat fermentum justo nec condimentum neque sapien placerat ante nulla justo aliquam quis turpis eget elit sodales scelerisque mauris sit amet eros suspendisse accumsan tortor quis turpis sed ante vivamus tortor duis mattis egestas metus aenean fermentum donec ut mauris eget massa tempor convallis nulla neque libero convallis eget eleifend luctus ultricies eu nibh quisque id justo sit amet sapien dignissim vestibulum vestibulum ante ipsum primis</t>
  </si>
  <si>
    <t>Ondricka LLC</t>
  </si>
  <si>
    <t>https://picsum.photos/id/63/200/300</t>
  </si>
  <si>
    <t>Pannier</t>
  </si>
  <si>
    <t>metus sapien ut nunc vestibulum ante ipsum primis in faucibus orci luctus et ultrices posuere cubilia curae mauris viverra diam vitae quam suspendisse potenti nullam porttitor lacus at turpis donec posuere metus vitae ipsum aliquam non mauris morbi non lectus aliquam sit amet diam in magna bibendum imperdiet nullam orci pede venenatis non sodales sed tincidunt eu felis fusce posuere felis sed lacus morbi sem mauris laoreet ut rhoncus aliquet pulvinar sed nisl nunc rhoncus dui vel sem sed sagittis nam congue risus semper porta volutpat quam pede lobortis ligula sit amet eleifend pede libero quis orci nullam molestie nibh in lectus pellentesque at</t>
  </si>
  <si>
    <t>Hammes-Cole</t>
  </si>
  <si>
    <t>https://picsum.photos/id/64/200/300</t>
  </si>
  <si>
    <t>Zamit</t>
  </si>
  <si>
    <t>sit amet justo morbi ut odio cras mi pede malesuada in imperdiet et commodo vulputate justo in blandit ultrices enim lorem ipsum dolor sit amet consectetuer adipiscing elit proin interdum mauris non ligula pellentesque ultrices phasellus id sapien in sapien iaculis congue vivamus metus arcu adipiscing molestie hendrerit at vulputate vitae nisl aenean lectus pellentesque eget nunc</t>
  </si>
  <si>
    <t>Hammes-Jacobson</t>
  </si>
  <si>
    <t>https://picsum.photos/id/65/200/300</t>
  </si>
  <si>
    <t>It</t>
  </si>
  <si>
    <t>blandit mi in porttitor pede justo eu massa donec dapibus duis at velit eu est congue elementum in hac habitasse platea dictumst morbi vestibulum velit id pretium iaculis diam erat fermentum justo nec condimentum neque sapien placerat ante nulla justo aliquam quis turpis eget elit sodales scelerisque mauris sit amet eros suspendisse accumsan tortor quis turpis sed ante vivamus tortor duis mattis egestas metus aenean fermentum donec ut mauris eget massa tempor convallis nulla neque libero convallis eget eleifend luctus ultricies</t>
  </si>
  <si>
    <t>Roberts-Hahn</t>
  </si>
  <si>
    <t>https://picsum.photos/id/66/200/300</t>
  </si>
  <si>
    <t>Temp</t>
  </si>
  <si>
    <t>ut suscipit a feugiat et eros vestibulum ac est lacinia nisi venenatis tristique fusce congue diam id ornare imperdiet sapien urna pretium nisl ut volutpat sapien arcu sed augue aliquam erat volutpat in congue etiam justo etiam pretium iaculis justo in hac habitasse platea dictumst etiam faucibus cursus urna ut tellus nulla ut erat id mauris vulputate elementum nullam varius nulla facilisi cras non velit nec nisi vulputate nonummy maecenas tincidunt lacus at velit vivamus vel nulla eget eros elementum pellentesque quisque porta volutpat erat quisque erat eros viverra eget congue eget semper rutrum nulla nunc purus phasellus in felis donec semper sapien a libero nam dui</t>
  </si>
  <si>
    <t>Bailey-Hammes</t>
  </si>
  <si>
    <t>https://picsum.photos/id/67/200/300</t>
  </si>
  <si>
    <t>Sonsing</t>
  </si>
  <si>
    <t>est quam pharetra magna ac consequat metus sapien ut nunc vestibulum ante ipsum primis in faucibus orci luctus et ultrices posuere cubilia curae mauris viverra diam vitae quam suspendisse potenti nullam porttitor lacus at turpis donec posuere metus vitae ipsum aliquam non mauris morbi non lectus aliquam sit amet diam</t>
  </si>
  <si>
    <t>Upton and Sons</t>
  </si>
  <si>
    <t>https://picsum.photos/id/68/200/300</t>
  </si>
  <si>
    <t>Namfix</t>
  </si>
  <si>
    <t>nec nisi vulputate nonummy maecenas tincidunt lacus at velit vivamus vel nulla eget eros elementum pellentesque quisque porta volutpat erat quisque erat eros viverra eget congue eget semper rutrum nulla nunc purus phasellus in felis donec semper sapien a libero nam dui proin leo odio porttitor id consequat in consequat ut nulla sed accumsan felis ut at dolor quis odio consequat varius integer ac leo pellentesque ultrices mattis odio donec vitae nisi nam ultrices libero non mattis pulvinar nulla pede ullamcorper augue a suscipit nulla elit ac nulla sed vel enim sit amet nunc</t>
  </si>
  <si>
    <t>Hoppe Inc</t>
  </si>
  <si>
    <t>https://picsum.photos/id/69/200/300</t>
  </si>
  <si>
    <t>Latlux</t>
  </si>
  <si>
    <t>in faucibus orci luctus et ultrices posuere cubilia curae mauris viverra diam vitae quam suspendisse potenti nullam porttitor lacus at turpis donec posuere metus vitae ipsum aliquam non mauris morbi non lectus aliquam sit amet diam in magna bibendum imperdiet nullam orci pede venenatis non sodales</t>
  </si>
  <si>
    <t>Beatty-Hettinger</t>
  </si>
  <si>
    <t>https://picsum.photos/id/70/200/300</t>
  </si>
  <si>
    <t>Hatity</t>
  </si>
  <si>
    <t>elementum nullam varius nulla facilisi cras non velit nec nisi vulputate nonummy maecenas tincidunt lacus at velit vivamus vel nulla eget eros elementum pellentesque quisque porta volutpat erat quisque erat eros viverra eget congue eget semper rutrum nulla nunc purus phasellus in felis donec semper sapien a libero nam dui proin leo odio porttitor id consequat in consequat ut nulla sed accumsan felis ut at dolor quis odio consequat varius integer ac leo pellentesque ultrices mattis odio donec vitae nisi nam</t>
  </si>
  <si>
    <t>Boehm, Upton and Crist</t>
  </si>
  <si>
    <t>https://picsum.photos/id/71/200/300</t>
  </si>
  <si>
    <t>Viva</t>
  </si>
  <si>
    <t>mauris non ligula pellentesque ultrices phasellus id sapien in sapien iaculis congue vivamus metus arcu adipiscing molestie hendrerit at vulputate vitae nisl aenean lectus pellentesque eget nunc donec quis orci eget orci vehicula condimentum curabitur in</t>
  </si>
  <si>
    <t>Donnelly, Legros and Jast</t>
  </si>
  <si>
    <t>https://picsum.photos/id/72/200/300</t>
  </si>
  <si>
    <t>Lotstring</t>
  </si>
  <si>
    <t>est risus auctor sed tristique in tempus sit amet sem fusce consequat nulla nisl nunc nisl duis bibendum felis sed interdum venenatis turpis enim blandit mi in porttitor pede justo eu massa donec dapibus duis at velit eu est congue elementum in hac habitasse platea dictumst morbi vestibulum velit id pretium iaculis diam erat fermentum</t>
  </si>
  <si>
    <t>Keebler-Huel</t>
  </si>
  <si>
    <t>https://picsum.photos/id/73/200/300</t>
  </si>
  <si>
    <t>Fix San</t>
  </si>
  <si>
    <t>blandit non interdum in ante vestibulum ante ipsum primis in faucibus orci luctus et ultrices posuere cubilia curae duis faucibus accumsan odio curabitur convallis duis consequat dui nec nisi volutpat eleifend donec</t>
  </si>
  <si>
    <t>Rosenbaum, Weber and Johnson</t>
  </si>
  <si>
    <t>https://picsum.photos/id/74/200/300</t>
  </si>
  <si>
    <t>Andalax</t>
  </si>
  <si>
    <t>tincidunt nulla mollis molestie lorem quisque ut erat curabitur gravida nisi at nibh in hac habitasse platea dictumst aliquam augue quam sollicitudin vitae consectetuer eget rutrum at lorem integer tincidunt ante vel ipsum praesent blandit lacinia erat vestibulum sed magna at nunc commodo placerat praesent blandit nam nulla integer pede justo lacinia eget tincidunt eget tempus vel pede morbi porttitor lorem id ligula suspendisse ornare consequat lectus in est risus auctor sed tristique in tempus sit amet sem fusce consequat nulla nisl nunc nisl duis bibendum felis sed interdum venenatis turpis enim blandit mi in porttitor pede justo eu massa donec dapibus duis at velit eu est</t>
  </si>
  <si>
    <t>Mann-Lowe</t>
  </si>
  <si>
    <t>https://picsum.photos/id/75/200/300</t>
  </si>
  <si>
    <t>Kanlam</t>
  </si>
  <si>
    <t>congue etiam justo etiam pretium iaculis justo in hac habitasse platea dictumst etiam faucibus cursus urna ut tellus nulla ut erat id mauris vulputate elementum nullam varius nulla facilisi cras non velit nec nisi vulputate nonummy maecenas tincidunt lacus at velit vivamus vel nulla eget eros elementum pellentesque quisque porta volutpat erat quisque erat eros viverra eget congue eget semper rutrum nulla nunc purus phasellus</t>
  </si>
  <si>
    <t>Gislason, Collier and Ankunding</t>
  </si>
  <si>
    <t>https://picsum.photos/id/76/200/300</t>
  </si>
  <si>
    <t>Cookley</t>
  </si>
  <si>
    <t>quam pharetra magna ac consequat metus sapien ut nunc vestibulum ante ipsum primis in faucibus orci luctus et ultrices posuere cubilia curae mauris viverra diam vitae quam suspendisse potenti nullam porttitor lacus at turpis donec posuere metus vitae ipsum aliquam non mauris morbi non lectus aliquam sit amet diam in magna bibendum imperdiet nullam orci pede venenatis non sodales sed tincidunt eu felis fusce posuere felis sed lacus morbi sem mauris laoreet ut rhoncus aliquet pulvinar sed nisl nunc rhoncus dui vel sem sed sagittis nam congue risus semper porta volutpat quam pede lobortis ligula sit amet eleifend pede libero quis orci nullam molestie</t>
  </si>
  <si>
    <t>Paucek-Simonis</t>
  </si>
  <si>
    <t>https://picsum.photos/id/77/200/300</t>
  </si>
  <si>
    <t>Home Ing</t>
  </si>
  <si>
    <t>mi nulla ac enim in tempor turpis nec euismod scelerisque quam turpis adipiscing lorem vitae mattis nibh ligula nec sem duis aliquam convallis nunc proin at turpis a pede posuere nonummy integer non velit donec diam neque vestibulum eget vulputate ut ultrices vel augue vestibulum ante ipsum primis in faucibus orci luctus et ultrices posuere cubilia curae donec pharetra magna vestibulum aliquet ultrices erat tortor sollicitudin mi sit amet lobortis sapien sapien non mi integer ac neque duis bibendum morbi non quam nec dui luctus rutrum nulla tellus in sagittis dui vel nisl duis ac nibh fusce</t>
  </si>
  <si>
    <t>Bogan-Johnson</t>
  </si>
  <si>
    <t>https://picsum.photos/id/78/200/300</t>
  </si>
  <si>
    <t>Zontrax</t>
  </si>
  <si>
    <t>suspendisse potenti cras in purus eu magna vulputate luctus cum sociis natoque penatibus</t>
  </si>
  <si>
    <t>Waters, Zemlak and Corwin</t>
  </si>
  <si>
    <t>https://picsum.photos/id/79/200/300</t>
  </si>
  <si>
    <t>Gembucket</t>
  </si>
  <si>
    <t>et ultrices posuere cubilia curae duis faucibus accumsan odio curabitur convallis duis consequat dui nec nisi volutpat eleifend donec ut dolor morbi vel lectus in quam fringilla rhoncus mauris enim leo rhoncus sed vestibulum sit amet cursus id turpis integer aliquet massa id lobortis convallis tortor risus dapibus augue vel accumsan tellus nisi eu orci mauris lacinia sapien quis libero nullam sit amet turpis elementum ligula vehicula consequat morbi a ipsum integer a nibh in quis justo maecenas rhoncus aliquam lacus morbi quis tortor id nulla</t>
  </si>
  <si>
    <t>Jones-Thiel</t>
  </si>
  <si>
    <t>https://picsum.photos/id/80/200/300</t>
  </si>
  <si>
    <t>Ronstring</t>
  </si>
  <si>
    <t>vestibulum ante ipsum primis in faucibus orci luctus et ultrices posuere cubilia curae nulla dapibus dolor vel est donec odio justo sollicitudin ut suscipit a feugiat et eros vestibulum ac est lacinia nisi venenatis tristique fusce congue diam id ornare imperdiet sapien urna pretium nisl ut volutpat sapien arcu sed</t>
  </si>
  <si>
    <t>https://picsum.photos/id/81/200/300</t>
  </si>
  <si>
    <t>Zoolab</t>
  </si>
  <si>
    <t>amet erat nulla tempus vivamus in felis eu sapien cursus vestibulum proin eu mi nulla ac enim in tempor turpis nec euismod scelerisque quam turpis adipiscing lorem vitae mattis nibh ligula nec sem duis aliquam convallis nunc proin at turpis a pede posuere nonummy integer non velit donec diam neque vestibulum eget vulputate ut ultrices vel augue vestibulum ante ipsum primis in faucibus orci luctus et ultrices posuere cubilia curae donec pharetra magna vestibulum aliquet ultrices erat tortor sollicitudin mi sit amet lobortis sapien sapien non mi integer ac neque duis bibendum morbi non quam nec dui luctus rutrum nulla</t>
  </si>
  <si>
    <t>https://picsum.photos/id/82/200/300</t>
  </si>
  <si>
    <t>Company Name</t>
  </si>
  <si>
    <t>Address</t>
  </si>
  <si>
    <t>Molnify AB</t>
  </si>
  <si>
    <t>info@molnify.com</t>
  </si>
  <si>
    <t>Molnify</t>
  </si>
  <si>
    <t>Surbrunnsgatan 16
SE-114 27 Stockholm
Sweden</t>
  </si>
  <si>
    <t>+46 (0)10 333 06 93</t>
  </si>
  <si>
    <t>Due Date</t>
  </si>
  <si>
    <t>Account Number</t>
  </si>
  <si>
    <t>Invoice Number</t>
  </si>
  <si>
    <t>Logo</t>
  </si>
  <si>
    <t>https://storage.googleapis.com/molnify-media/fileuploaddemo/nlcf3la9j0od4jopkpvg8972i4ohi4f1a9a698k26btvmecthjqm-molnify_logo_med_symbol_svart__full_.png</t>
  </si>
  <si>
    <t>html;amonginputs;hidecopy</t>
  </si>
  <si>
    <t>tab=Contact Information;dividerName=Customer;variable=rec_company</t>
  </si>
  <si>
    <t>variable=rec_person</t>
  </si>
  <si>
    <t>variable=rec_email</t>
  </si>
  <si>
    <t>variable=rec_phone</t>
  </si>
  <si>
    <t>textarea;variable=rec_address</t>
  </si>
  <si>
    <t>dividerName=Sender;variable=send_company</t>
  </si>
  <si>
    <t>variable=send_person</t>
  </si>
  <si>
    <t>variable=send_email</t>
  </si>
  <si>
    <t>text;variable=send_phone</t>
  </si>
  <si>
    <t>textarea;variable=send_address</t>
  </si>
  <si>
    <t>variable=send_logo</t>
  </si>
  <si>
    <t>generatereport</t>
  </si>
  <si>
    <t>filename</t>
  </si>
  <si>
    <t>template</t>
  </si>
  <si>
    <t>suppressdownload</t>
  </si>
  <si>
    <t>Off</t>
  </si>
  <si>
    <t>To Unit</t>
  </si>
  <si>
    <t>To Subtotal</t>
  </si>
  <si>
    <t>Discount Types:</t>
  </si>
  <si>
    <t>Subtotal</t>
  </si>
  <si>
    <t>Unit Discount</t>
  </si>
  <si>
    <t>Subtotal Discount</t>
  </si>
  <si>
    <t>Discounted Unit Price</t>
  </si>
  <si>
    <t>helper sell</t>
  </si>
  <si>
    <t>Cost</t>
  </si>
  <si>
    <t>id</t>
  </si>
  <si>
    <t>unit_price</t>
  </si>
  <si>
    <t>qty</t>
  </si>
  <si>
    <t>note</t>
  </si>
  <si>
    <t>Gross Profit</t>
  </si>
  <si>
    <t>Pre Discount Gross Profit</t>
  </si>
  <si>
    <t>Apply VAT</t>
  </si>
  <si>
    <t>VAT</t>
  </si>
  <si>
    <t>VAT Sum</t>
  </si>
  <si>
    <t>VAT %</t>
  </si>
  <si>
    <t>VAT €</t>
  </si>
  <si>
    <t>vat_per</t>
  </si>
  <si>
    <t>vat_amount</t>
  </si>
  <si>
    <t>Gross profit</t>
  </si>
  <si>
    <t>Total Due</t>
  </si>
  <si>
    <t>Client Reference</t>
  </si>
  <si>
    <t>Terms &amp; Conditions</t>
  </si>
  <si>
    <t>dividerName=Payment;textarea;variable=inv_terms</t>
  </si>
  <si>
    <t>Bank Name</t>
  </si>
  <si>
    <t>text;variable=inv_bank_name</t>
  </si>
  <si>
    <t>text;variable=inv_bank_account</t>
  </si>
  <si>
    <t>IBAN</t>
  </si>
  <si>
    <t>text;variable=inv_bank_sort_code</t>
  </si>
  <si>
    <t>Sort Code</t>
  </si>
  <si>
    <t>SWIFT/BIC Code</t>
  </si>
  <si>
    <t>text;variable=inv_bank_iban</t>
  </si>
  <si>
    <t>text;vaiable=inv_bank_swift_bic</t>
  </si>
  <si>
    <t>Account Holder</t>
  </si>
  <si>
    <t>text;variable=inv_bank_holder</t>
  </si>
  <si>
    <t>Website</t>
  </si>
  <si>
    <t>variable=send_site</t>
  </si>
  <si>
    <t>www.molnify.com</t>
  </si>
  <si>
    <t>Items Preface Title</t>
  </si>
  <si>
    <t>Items Preface Content</t>
  </si>
  <si>
    <t>textarea;variable=inv_preface_content</t>
  </si>
  <si>
    <t>Unit</t>
  </si>
  <si>
    <t>pcs</t>
  </si>
  <si>
    <t>Formatted List Price</t>
  </si>
  <si>
    <t>tab=Details;noButtons;variable=inv_number</t>
  </si>
  <si>
    <t>XX-XX-XX</t>
  </si>
  <si>
    <t>AABBCCDD</t>
  </si>
  <si>
    <t>Name of Bank</t>
  </si>
  <si>
    <t>General Notes</t>
  </si>
  <si>
    <t>The invoice shall be payed within 30 days from the initial date.</t>
  </si>
  <si>
    <t>thumb</t>
  </si>
  <si>
    <t>Thumbnails</t>
  </si>
  <si>
    <t>dividerName=Items;text;variable=inv_preface_title</t>
  </si>
  <si>
    <t>Display Thumbnails</t>
  </si>
  <si>
    <t>Display ID's</t>
  </si>
  <si>
    <t>variable=client_ref</t>
  </si>
  <si>
    <t>Total VAT</t>
  </si>
  <si>
    <t>hidden;variable=inv_date</t>
  </si>
  <si>
    <t>hidden;variable=inv_due</t>
  </si>
  <si>
    <t>date</t>
  </si>
  <si>
    <t>Date Formatted</t>
  </si>
  <si>
    <t>Date Due Formatted</t>
  </si>
  <si>
    <t>RAW Subtotal</t>
  </si>
  <si>
    <t>Discount type</t>
  </si>
  <si>
    <t>Product Selected</t>
  </si>
  <si>
    <t>Discount method</t>
  </si>
  <si>
    <t>Discounted list price</t>
  </si>
  <si>
    <t>Item Discount %</t>
  </si>
  <si>
    <t>Subtotal Discount %</t>
  </si>
  <si>
    <t>Subtotal After Item Discount</t>
  </si>
  <si>
    <t>Subtotal After Overall Discount</t>
  </si>
  <si>
    <t>Subtotal with VAT</t>
  </si>
  <si>
    <t>Units + Qty merge</t>
  </si>
  <si>
    <t>Discounted Subtotal</t>
  </si>
  <si>
    <t>Thumbnail</t>
  </si>
  <si>
    <t>Units</t>
  </si>
  <si>
    <t>Sanity Check (Layout values and apply formating)</t>
  </si>
  <si>
    <t>Margin Percentage</t>
  </si>
  <si>
    <t>Total Margin</t>
  </si>
  <si>
    <t>Discount</t>
  </si>
  <si>
    <t>Scenario</t>
  </si>
  <si>
    <t xml:space="preserve"> </t>
  </si>
  <si>
    <t>Total Discount</t>
  </si>
  <si>
    <t>disc_unit</t>
  </si>
  <si>
    <t>unit_post_disc</t>
  </si>
  <si>
    <t>subtotal_post_overall_disc</t>
  </si>
  <si>
    <t>disc_subtotal</t>
  </si>
  <si>
    <t>subtotal_post_unit_disc</t>
  </si>
  <si>
    <t>subtotal_post_vat</t>
  </si>
  <si>
    <t>List Price</t>
  </si>
  <si>
    <t>Net Price</t>
  </si>
  <si>
    <t>New Sum</t>
  </si>
  <si>
    <t>List Price Sum</t>
  </si>
  <si>
    <t>Placeholder</t>
  </si>
  <si>
    <t>+00 (0)11 222 33 44</t>
  </si>
  <si>
    <t>Sales Order App PDF</t>
  </si>
  <si>
    <t>sales_order.pdf</t>
  </si>
  <si>
    <t>Recipient Company</t>
  </si>
  <si>
    <t>Recipient Person</t>
  </si>
  <si>
    <t>recipient@mail.com</t>
  </si>
  <si>
    <t>501 Recipient Street
Cedar Rapids, IA 52402
Cedar CE0 1GB</t>
  </si>
  <si>
    <t>XXXX XXXX XXXX XX</t>
  </si>
  <si>
    <t>Add a short decription or other information above the list of order items</t>
  </si>
  <si>
    <t>hidden;variable=inv_display_thumbs</t>
  </si>
  <si>
    <t>hidden;variable=inv_display_ids</t>
  </si>
  <si>
    <t>background</t>
  </si>
  <si>
    <t>#2a2a2a</t>
  </si>
  <si>
    <t>#404040</t>
  </si>
  <si>
    <t>icon</t>
  </si>
  <si>
    <t>fa-tag</t>
  </si>
  <si>
    <t>fa-arrow-up</t>
  </si>
  <si>
    <t>fa-euro</t>
  </si>
  <si>
    <t>fa-percent</t>
  </si>
  <si>
    <t>fa-shopping-bag</t>
  </si>
  <si>
    <t>#3f5365</t>
  </si>
  <si>
    <r>
      <rPr>
        <b/>
        <sz val="10"/>
        <color rgb="FF000000"/>
        <rFont val="Arial"/>
        <family val="2"/>
        <scheme val="minor"/>
      </rPr>
      <t>Metadata (purple cells)</t>
    </r>
    <r>
      <rPr>
        <sz val="10"/>
        <color rgb="FF000000"/>
        <rFont val="Arial"/>
        <family val="2"/>
        <scheme val="minor"/>
      </rPr>
      <t xml:space="preserve">
The purple cells are Molnify metadata. The metadata tells Molnify what to name the app (name) and what ID (Id) the app should have. For instance, this app is uploaded with the ID salesorderapp and that makes the URL become https://app.molnify.com/app/salesorderapp
The metadata is also used to style the app using CSS. You can read the CSS code used for this app in the purple cell, right next to the cell reading CSS. If you need some help creating your own CSS code, you can head on over to our AppGenerator app, at https://app.molnify.com/app/appgenerator where you can style an app live, and after you’re done, copy the metadata to your own Excel file.</t>
    </r>
  </si>
  <si>
    <r>
      <t xml:space="preserve">This page has only one input (the green cell) and in the UI-cell it reads </t>
    </r>
    <r>
      <rPr>
        <b/>
        <sz val="10"/>
        <color rgb="FF000000"/>
        <rFont val="Arial"/>
        <family val="2"/>
        <scheme val="minor"/>
      </rPr>
      <t>longinfotext</t>
    </r>
    <r>
      <rPr>
        <sz val="10"/>
        <color rgb="FF000000"/>
        <rFont val="Arial"/>
        <family val="2"/>
        <scheme val="minor"/>
      </rPr>
      <t xml:space="preserve"> (makes the input un-editable in the app and also makes HTML code display). It also has</t>
    </r>
    <r>
      <rPr>
        <b/>
        <sz val="10"/>
        <color rgb="FF000000"/>
        <rFont val="Arial"/>
        <family val="2"/>
        <scheme val="minor"/>
      </rPr>
      <t xml:space="preserve"> tab=Abou</t>
    </r>
    <r>
      <rPr>
        <sz val="10"/>
        <color rgb="FF000000"/>
        <rFont val="Arial"/>
        <family val="2"/>
        <scheme val="minor"/>
      </rPr>
      <t xml:space="preserve">t in the UI-cell, and that places this input under the first tab of the app. The ui-commands are </t>
    </r>
    <r>
      <rPr>
        <b/>
        <sz val="10"/>
        <color rgb="FF000000"/>
        <rFont val="Arial"/>
        <family val="2"/>
        <scheme val="minor"/>
      </rPr>
      <t>separated with a semi-colon</t>
    </r>
    <r>
      <rPr>
        <sz val="10"/>
        <color rgb="FF000000"/>
        <rFont val="Arial"/>
        <family val="2"/>
        <scheme val="minor"/>
      </rPr>
      <t>.</t>
    </r>
    <r>
      <rPr>
        <sz val="10"/>
        <color rgb="FF000000"/>
        <rFont val="Arial"/>
        <family val="2"/>
        <scheme val="minor"/>
      </rPr>
      <t xml:space="preserve"> Inputs can't be formulas, but in this case, a CONCATENATE() formula is used to link the text of the input together. This formula is only active when the app is in it's Excel form. When the file is uploaded to Molnify, the formula is treated as text.</t>
    </r>
  </si>
  <si>
    <t>Here we see more inputs on a new tab in the app (the first input of this page has tab=Contact information in it's Ui-cell. At the bottom, we see an ouput cell (red cell) with amonginputs;html;hidcopy in it's Ui-cell. This places the output among the inputs. In this case, it will show a picture in the app after the user has inputed a URL to an image in the input in C15.</t>
  </si>
  <si>
    <t>Here we have tab number three in the app. This sheet has a few ouputs as well, but they are hidden. Since much of the data entered here is going to be sent to the PDF, the inputs and outputs has variable=sometext in the Ui-cell.</t>
  </si>
  <si>
    <t>This sheet contains what makes the Save and Update function in the app, as well as the email function. The ScenarioSave actions, as well as the email action, are hidden. In the app, they are both executed with the Multiple actions. One multiple does Save and email, the other one does Update and email.</t>
  </si>
  <si>
    <t>This is the order part of the app, where you can add products, set quantity, and give discounts. Here, the input lay out is structured a bit different. Since Molnify reads from left to right, top to bottom, the first input is this sheet (and on this tab in the app), is the top left one. Input number two is on the same row, to the right. The third is one the same row along with the rest of the inputs in that "input block". Most inputs are also hidden, using Molnifys "Conditional show" function in the UI cell. You can read more about conditional show in our Reference Guide at https://app.molnify.com/reference. There are also a bunch of helper cells in this sheet. They help out by being used for calculations, as the red outputs cells are used to show calculated values as well as text, in the app. If you scroll this sheet to the right, you will also see blue cells, that will make up a table in the app. There are also a few regular output cells here, creating output boxes for important stuff such as margin, total and gross profit.</t>
  </si>
  <si>
    <t>This page contains a product list, together with descriptions, prices and URLs. If this would be a real order app, a manager could update the price list of the app in this sheet. A really nice thing with Molnify is, that if you update things such as prices and upload, the update will occur for everyone using the app directly - there is no way a user can use the app with the wrong pricing.</t>
  </si>
  <si>
    <t>Resources</t>
  </si>
  <si>
    <t>https://app.molnify.com/reference</t>
  </si>
  <si>
    <t>Molnify Reference Guide</t>
  </si>
  <si>
    <t>Molnify YouTube chanel</t>
  </si>
  <si>
    <t>https://youtube.com/c/molnify</t>
  </si>
  <si>
    <t>Create your own app</t>
  </si>
  <si>
    <t>https://app.molnify.com</t>
  </si>
  <si>
    <t>Get in touch</t>
  </si>
  <si>
    <t>&lt;-- Used for mustache template</t>
  </si>
  <si>
    <t>&lt;ul&gt;&lt;li&gt;Read the &lt;a href="https://storage.googleapis.com/molnify-media/fileuploaddemo/a7ep5fg9aecdhp3u0hqbilkcfk8m3nh04o11df94lnlk6c81b38d-20220426-salesorder%20app%20explanation.pdf" target="_blank"&gt;quick guide&lt;/a&gt;.&lt;/li&gt;</t>
  </si>
  <si>
    <t>Your e-mail</t>
  </si>
  <si>
    <t>content</t>
  </si>
  <si>
    <t>&lt;h4&gt;More App-building resources&lt;/h4&gt;</t>
  </si>
  <si>
    <t>template-salesorderapp-fj</t>
  </si>
  <si>
    <t>dividerName=Generate a PDF;placeHolder=Type an email here</t>
  </si>
  <si>
    <t>action1</t>
  </si>
  <si>
    <t>infotext</t>
  </si>
  <si>
    <t>https://app.molnify.com/app/salesorderapp_eng#c2FsZXNvcmRlcmFwcF9lbmctZnJlZHJpay5qdXJlZW5AbW9sbmlmeS5jb20tRGVtbw%3D%3D</t>
  </si>
  <si>
    <t>href</t>
  </si>
  <si>
    <t>infoText;dividername=</t>
  </si>
  <si>
    <t>HTML</t>
  </si>
  <si>
    <t>javascript:performAction($('#actionsBtn1')[0], 6);</t>
  </si>
  <si>
    <t>Download PDF</t>
  </si>
  <si>
    <t>fredrik.jureen@molnify.com;mattias@molnify.com</t>
  </si>
  <si>
    <t>A user has generated a PDF, here is the link: {{urlToReport}}</t>
  </si>
  <si>
    <t>&lt;li&gt;Download the &lt;a href="https://storage.googleapis.com/molnify-media/fileuploaddemo/gftv0ia7s3dqui2ndckatvqnmssjcejfnevd0ed8fvp38f3gc7a-20220428_salesorderapp_eng.zip" target="_blank"&gt;work files&lt;/a&gt;. &lt;span class="btn btn-xs btn-icon btn-circle btn-success btn-tour" data-toggle="tooltip" data-placement="right" title="Includes the .xlsx file used for building the Molnify App, and the files used for generating the PDF: An index.html mustache template file, a style.css file used by the template, and a collection of .ttf font files."&gt;&lt;i class="fa fa-question"&gt;&lt;/i&gt;&lt;/span&gt;&lt;/li&gt;&lt;/ul&gt;</t>
  </si>
  <si>
    <t>SalesOrderApp_eng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</si>
</sst>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F400]h:mm:ss\ AM/PM"/>
  </numFmts>
  <fonts count="39">
    <font>
      <sz val="10"/>
      <color rgb="FF000000"/>
      <name val="Arial"/>
      <scheme val="minor"/>
    </font>
    <font>
      <sz val="9"/>
      <color rgb="FFFFFFFF"/>
      <name val="&quot;Open Sans&quot;"/>
    </font>
    <font>
      <u/>
      <sz val="9"/>
      <color rgb="FFFFFFFF"/>
      <name val="&quot;Open Sans&quot;"/>
    </font>
    <font>
      <sz val="10"/>
      <color theme="1"/>
      <name val="Arial"/>
      <family val="2"/>
      <scheme val="minor"/>
    </font>
    <font>
      <sz val="10"/>
      <color theme="1"/>
      <name val="Arial"/>
      <family val="2"/>
    </font>
    <font>
      <sz val="11"/>
      <color theme="1"/>
      <name val="Arial"/>
      <family val="2"/>
    </font>
    <font>
      <sz val="9"/>
      <color rgb="FF000000"/>
      <name val="Helvetica"/>
      <family val="2"/>
    </font>
    <font>
      <u/>
      <sz val="11"/>
      <color rgb="FF0563C1"/>
      <name val="Arial"/>
      <family val="2"/>
    </font>
    <font>
      <sz val="12"/>
      <color rgb="FF000000"/>
      <name val="Calibri"/>
      <family val="2"/>
    </font>
    <font>
      <sz val="11"/>
      <color rgb="FF000000"/>
      <name val="Calibri"/>
      <family val="2"/>
    </font>
    <font>
      <u/>
      <sz val="11"/>
      <color rgb="FF0563C1"/>
      <name val="Calibri"/>
      <family val="2"/>
    </font>
    <font>
      <b/>
      <sz val="10"/>
      <color theme="1"/>
      <name val="Arial"/>
      <family val="2"/>
      <scheme val="minor"/>
    </font>
    <font>
      <sz val="11"/>
      <color rgb="FF008000"/>
      <name val="Inconsolata"/>
    </font>
    <font>
      <sz val="10"/>
      <color rgb="FF386BF3"/>
      <name val="SFMono-Regular"/>
    </font>
    <font>
      <u/>
      <sz val="10"/>
      <color theme="10"/>
      <name val="Arial"/>
      <family val="2"/>
      <scheme val="minor"/>
    </font>
    <font>
      <sz val="10"/>
      <color theme="0"/>
      <name val="Arial"/>
      <family val="2"/>
      <scheme val="minor"/>
    </font>
    <font>
      <sz val="11"/>
      <color theme="1"/>
      <name val="Arial"/>
      <family val="2"/>
    </font>
    <font>
      <sz val="10"/>
      <color rgb="FF000000"/>
      <name val="Arial"/>
      <family val="2"/>
      <scheme val="minor"/>
    </font>
    <font>
      <b/>
      <sz val="10"/>
      <color rgb="FF000000"/>
      <name val="Arial"/>
      <family val="2"/>
      <scheme val="minor"/>
    </font>
    <font>
      <b/>
      <sz val="11"/>
      <color theme="1"/>
      <name val="Arial"/>
      <family val="2"/>
    </font>
    <font>
      <sz val="12"/>
      <color rgb="FF000000"/>
      <name val="Arial"/>
      <family val="2"/>
      <scheme val="minor"/>
    </font>
    <font>
      <sz val="10"/>
      <color rgb="FF000000"/>
      <name val="Arial"/>
      <family val="2"/>
    </font>
    <font>
      <sz val="10"/>
      <color rgb="FF000000"/>
      <name val="Arial"/>
      <family val="2"/>
      <scheme val="minor"/>
    </font>
    <font>
      <sz val="10"/>
      <color theme="1"/>
      <name val="Arial"/>
      <family val="2"/>
      <scheme val="minor"/>
    </font>
    <font>
      <b/>
      <sz val="10"/>
      <color theme="1"/>
      <name val="Arial"/>
      <family val="2"/>
      <scheme val="minor"/>
    </font>
    <font>
      <sz val="8"/>
      <name val="Arial"/>
      <family val="2"/>
      <scheme val="minor"/>
    </font>
    <font>
      <sz val="10"/>
      <color rgb="FF000000"/>
      <name val="Tahoma"/>
      <family val="2"/>
    </font>
    <font>
      <b/>
      <sz val="10"/>
      <color rgb="FF000000"/>
      <name val="Tahoma"/>
      <family val="2"/>
    </font>
    <font>
      <sz val="10"/>
      <color theme="2"/>
      <name val="Arial"/>
      <family val="2"/>
      <scheme val="minor"/>
    </font>
    <font>
      <sz val="10"/>
      <color theme="4" tint="0.79998168889431442"/>
      <name val="Arial"/>
      <family val="2"/>
      <scheme val="minor"/>
    </font>
    <font>
      <sz val="10"/>
      <name val="Arial"/>
      <family val="2"/>
      <scheme val="minor"/>
    </font>
    <font>
      <sz val="10"/>
      <name val="Arial (Body)"/>
    </font>
    <font>
      <sz val="11"/>
      <name val="Arial (Body)"/>
    </font>
    <font>
      <sz val="11"/>
      <color theme="3"/>
      <name val="Arial (Body)"/>
    </font>
    <font>
      <sz val="10"/>
      <color theme="3"/>
      <name val="Arial (Body)"/>
    </font>
    <font>
      <b/>
      <sz val="10"/>
      <color theme="3"/>
      <name val="Arial (Body)"/>
    </font>
    <font>
      <sz val="9"/>
      <color theme="1"/>
      <name val="Menlo"/>
      <family val="2"/>
    </font>
    <font>
      <sz val="9"/>
      <name val="Menlo"/>
      <family val="2"/>
    </font>
    <font>
      <sz val="9"/>
      <color rgb="FF000000"/>
      <name val="Helvetica"/>
      <family val="2"/>
    </font>
  </fonts>
  <fills count="20">
    <fill>
      <patternFill patternType="none"/>
    </fill>
    <fill>
      <patternFill patternType="gray125"/>
    </fill>
    <fill>
      <patternFill patternType="solid">
        <fgColor rgb="FFFFFFFF"/>
        <bgColor rgb="FFFFFFFF"/>
      </patternFill>
    </fill>
    <fill>
      <patternFill patternType="solid">
        <fgColor rgb="FFFF0000"/>
        <bgColor rgb="FFFF0000"/>
      </patternFill>
    </fill>
    <fill>
      <patternFill patternType="solid">
        <fgColor theme="0"/>
        <bgColor theme="0"/>
      </patternFill>
    </fill>
    <fill>
      <patternFill patternType="solid">
        <fgColor rgb="FFFFFF00"/>
        <bgColor rgb="FFFFFF00"/>
      </patternFill>
    </fill>
    <fill>
      <patternFill patternType="solid">
        <fgColor rgb="FF00B050"/>
        <bgColor rgb="FF00FF00"/>
      </patternFill>
    </fill>
    <fill>
      <patternFill patternType="solid">
        <fgColor rgb="FF7030A0"/>
        <bgColor rgb="FF9900FF"/>
      </patternFill>
    </fill>
    <fill>
      <patternFill patternType="solid">
        <fgColor rgb="FF00B050"/>
        <bgColor indexed="64"/>
      </patternFill>
    </fill>
    <fill>
      <patternFill patternType="solid">
        <fgColor rgb="FFFF0000"/>
        <bgColor rgb="FF00FF00"/>
      </patternFill>
    </fill>
    <fill>
      <patternFill patternType="solid">
        <fgColor theme="1" tint="0.14999847407452621"/>
        <bgColor indexed="64"/>
      </patternFill>
    </fill>
    <fill>
      <patternFill patternType="solid">
        <fgColor theme="6" tint="0.79998168889431442"/>
        <bgColor indexed="64"/>
      </patternFill>
    </fill>
    <fill>
      <patternFill patternType="solid">
        <fgColor rgb="FFFF0000"/>
        <bgColor indexed="64"/>
      </patternFill>
    </fill>
    <fill>
      <patternFill patternType="solid">
        <fgColor theme="1"/>
        <bgColor indexed="64"/>
      </patternFill>
    </fill>
    <fill>
      <patternFill patternType="solid">
        <fgColor theme="1" tint="0.249977111117893"/>
        <bgColor rgb="FF0000FF"/>
      </patternFill>
    </fill>
    <fill>
      <patternFill patternType="solid">
        <fgColor rgb="FF0070C0"/>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4" fillId="0" borderId="0" applyNumberFormat="0" applyFill="0" applyBorder="0" applyAlignment="0" applyProtection="0"/>
    <xf numFmtId="9" fontId="22" fillId="0" borderId="0" applyFont="0" applyFill="0" applyBorder="0" applyAlignment="0" applyProtection="0"/>
  </cellStyleXfs>
  <cellXfs count="194">
    <xf numFmtId="0" fontId="0" fillId="0" borderId="0" xfId="0" applyFont="1" applyAlignment="1"/>
    <xf numFmtId="0" fontId="3" fillId="0" borderId="0" xfId="0" applyFont="1" applyAlignment="1"/>
    <xf numFmtId="0" fontId="4" fillId="2" borderId="0" xfId="0" applyFont="1" applyFill="1" applyAlignment="1"/>
    <xf numFmtId="0" fontId="5" fillId="0" borderId="0" xfId="0" applyFont="1" applyAlignment="1"/>
    <xf numFmtId="0" fontId="4" fillId="2" borderId="0" xfId="0" applyFont="1" applyFill="1" applyAlignment="1"/>
    <xf numFmtId="0" fontId="5" fillId="0" borderId="0" xfId="0" applyFont="1" applyAlignment="1"/>
    <xf numFmtId="0" fontId="6" fillId="0" borderId="0" xfId="0" applyFont="1" applyAlignment="1"/>
    <xf numFmtId="0" fontId="7" fillId="0" borderId="0" xfId="0" applyFont="1" applyAlignment="1"/>
    <xf numFmtId="0" fontId="8" fillId="0" borderId="0" xfId="0" applyFont="1" applyAlignment="1"/>
    <xf numFmtId="0" fontId="8" fillId="0" borderId="0" xfId="0" applyFont="1" applyAlignment="1"/>
    <xf numFmtId="0" fontId="9" fillId="0" borderId="0" xfId="0" applyFont="1" applyAlignment="1"/>
    <xf numFmtId="0" fontId="9" fillId="3" borderId="0" xfId="0" applyFont="1" applyFill="1" applyAlignment="1"/>
    <xf numFmtId="0" fontId="9" fillId="0" borderId="0" xfId="0" applyFont="1" applyAlignment="1"/>
    <xf numFmtId="0" fontId="9" fillId="4" borderId="0" xfId="0" applyFont="1" applyFill="1" applyAlignment="1"/>
    <xf numFmtId="0" fontId="9" fillId="5" borderId="0" xfId="0" applyFont="1" applyFill="1" applyAlignment="1"/>
    <xf numFmtId="0" fontId="4" fillId="5" borderId="0" xfId="0" applyFont="1" applyFill="1" applyAlignment="1"/>
    <xf numFmtId="0" fontId="9" fillId="5" borderId="0" xfId="0" applyFont="1" applyFill="1" applyAlignment="1">
      <alignment horizontal="right"/>
    </xf>
    <xf numFmtId="0" fontId="10" fillId="5" borderId="0" xfId="0" applyFont="1" applyFill="1" applyAlignment="1"/>
    <xf numFmtId="164" fontId="9" fillId="5" borderId="0" xfId="0" applyNumberFormat="1" applyFont="1" applyFill="1" applyAlignment="1"/>
    <xf numFmtId="0" fontId="9" fillId="0" borderId="0" xfId="0" applyFont="1" applyAlignment="1">
      <alignment horizontal="right"/>
    </xf>
    <xf numFmtId="0" fontId="9" fillId="5" borderId="0" xfId="0" applyFont="1" applyFill="1" applyAlignment="1">
      <alignment horizontal="center"/>
    </xf>
    <xf numFmtId="0" fontId="9" fillId="5" borderId="0" xfId="0" applyFont="1" applyFill="1" applyAlignment="1"/>
    <xf numFmtId="0" fontId="4" fillId="0" borderId="0" xfId="0" applyFont="1" applyAlignment="1"/>
    <xf numFmtId="0" fontId="4" fillId="5" borderId="0" xfId="0" applyFont="1" applyFill="1" applyAlignment="1">
      <alignment horizontal="center"/>
    </xf>
    <xf numFmtId="0" fontId="9" fillId="3" borderId="0" xfId="0" applyFont="1" applyFill="1" applyAlignment="1">
      <alignment horizontal="center"/>
    </xf>
    <xf numFmtId="0" fontId="11" fillId="0" borderId="0" xfId="0" applyFont="1" applyAlignment="1"/>
    <xf numFmtId="0" fontId="3" fillId="0" borderId="0" xfId="0" applyFont="1"/>
    <xf numFmtId="0" fontId="5" fillId="3" borderId="0" xfId="0" applyFont="1" applyFill="1" applyAlignment="1"/>
    <xf numFmtId="0" fontId="12" fillId="2" borderId="0" xfId="0" applyFont="1" applyFill="1" applyAlignment="1"/>
    <xf numFmtId="0" fontId="5" fillId="0" borderId="0" xfId="0" applyFont="1" applyAlignment="1">
      <alignment horizontal="right"/>
    </xf>
    <xf numFmtId="0" fontId="13" fillId="0" borderId="0" xfId="0" applyFont="1" applyAlignment="1">
      <alignment horizontal="center" wrapText="1"/>
    </xf>
    <xf numFmtId="0" fontId="5" fillId="0" borderId="0" xfId="0" applyFont="1" applyAlignment="1"/>
    <xf numFmtId="0" fontId="0" fillId="0" borderId="0" xfId="0" applyFont="1" applyAlignment="1"/>
    <xf numFmtId="0" fontId="5" fillId="0" borderId="0" xfId="0" applyFont="1" applyAlignment="1"/>
    <xf numFmtId="0" fontId="0" fillId="0" borderId="0" xfId="0" applyFont="1" applyAlignment="1"/>
    <xf numFmtId="0" fontId="3" fillId="6" borderId="0" xfId="0" applyFont="1" applyFill="1"/>
    <xf numFmtId="0" fontId="1" fillId="7" borderId="0" xfId="0" applyFont="1" applyFill="1" applyAlignment="1">
      <alignment vertical="top"/>
    </xf>
    <xf numFmtId="0" fontId="2" fillId="7" borderId="0" xfId="0" applyFont="1" applyFill="1" applyAlignment="1">
      <alignment vertical="top"/>
    </xf>
    <xf numFmtId="164" fontId="9" fillId="6" borderId="0" xfId="0" applyNumberFormat="1" applyFont="1" applyFill="1" applyAlignment="1">
      <alignment horizontal="right"/>
    </xf>
    <xf numFmtId="0" fontId="9" fillId="6" borderId="0" xfId="0" applyFont="1" applyFill="1" applyAlignment="1"/>
    <xf numFmtId="0" fontId="3" fillId="6" borderId="0" xfId="0" applyFont="1" applyFill="1" applyAlignment="1"/>
    <xf numFmtId="9" fontId="3" fillId="6" borderId="0" xfId="0" applyNumberFormat="1" applyFont="1" applyFill="1" applyAlignment="1"/>
    <xf numFmtId="0" fontId="16" fillId="0" borderId="0" xfId="0" applyFont="1" applyAlignment="1"/>
    <xf numFmtId="0" fontId="17" fillId="0" borderId="0" xfId="0" applyFont="1" applyAlignment="1"/>
    <xf numFmtId="0" fontId="18" fillId="0" borderId="0" xfId="0" applyFont="1" applyAlignment="1"/>
    <xf numFmtId="0" fontId="14" fillId="0" borderId="0" xfId="1" applyAlignment="1"/>
    <xf numFmtId="0" fontId="16" fillId="0" borderId="0" xfId="0" applyFont="1" applyAlignment="1">
      <alignment vertical="top" wrapText="1"/>
    </xf>
    <xf numFmtId="0" fontId="5" fillId="6" borderId="0" xfId="0" applyFont="1" applyFill="1" applyAlignment="1">
      <alignment horizontal="left" vertical="top" wrapText="1"/>
    </xf>
    <xf numFmtId="0" fontId="19" fillId="0" borderId="0" xfId="0" applyFont="1" applyAlignment="1">
      <alignment horizontal="right"/>
    </xf>
    <xf numFmtId="0" fontId="18" fillId="0" borderId="0" xfId="0" applyFont="1" applyAlignment="1">
      <alignment horizontal="right"/>
    </xf>
    <xf numFmtId="0" fontId="5" fillId="6" borderId="0" xfId="0" applyFont="1" applyFill="1" applyAlignment="1">
      <alignment horizontal="left"/>
    </xf>
    <xf numFmtId="0" fontId="16" fillId="0" borderId="0" xfId="0" applyFont="1" applyAlignment="1">
      <alignment horizontal="left"/>
    </xf>
    <xf numFmtId="14" fontId="5" fillId="6" borderId="0" xfId="0" applyNumberFormat="1" applyFont="1" applyFill="1" applyAlignment="1">
      <alignment horizontal="left"/>
    </xf>
    <xf numFmtId="14" fontId="16" fillId="6" borderId="0" xfId="0" applyNumberFormat="1" applyFont="1" applyFill="1" applyAlignment="1">
      <alignment horizontal="left"/>
    </xf>
    <xf numFmtId="0" fontId="0" fillId="0" borderId="0" xfId="0" applyFont="1" applyAlignment="1">
      <alignment horizontal="left"/>
    </xf>
    <xf numFmtId="165" fontId="0" fillId="0" borderId="0" xfId="0" applyNumberFormat="1" applyFont="1" applyAlignment="1"/>
    <xf numFmtId="0" fontId="14" fillId="6" borderId="0" xfId="1" applyFill="1" applyAlignment="1">
      <alignment horizontal="left"/>
    </xf>
    <xf numFmtId="0" fontId="16" fillId="9" borderId="0" xfId="0" applyFont="1" applyFill="1" applyAlignment="1">
      <alignment horizontal="left"/>
    </xf>
    <xf numFmtId="0" fontId="15" fillId="0" borderId="0" xfId="0" applyFont="1" applyFill="1" applyAlignment="1"/>
    <xf numFmtId="0" fontId="0" fillId="0" borderId="0" xfId="0" applyFont="1" applyFill="1" applyAlignment="1"/>
    <xf numFmtId="0" fontId="17" fillId="0" borderId="0" xfId="0" applyFont="1" applyFill="1" applyAlignment="1"/>
    <xf numFmtId="0" fontId="17" fillId="0" borderId="0" xfId="0" applyNumberFormat="1" applyFont="1" applyFill="1" applyAlignment="1"/>
    <xf numFmtId="0" fontId="20" fillId="0" borderId="0" xfId="0" applyFont="1"/>
    <xf numFmtId="0" fontId="20" fillId="5" borderId="0" xfId="0" applyFont="1" applyFill="1"/>
    <xf numFmtId="0" fontId="20" fillId="5" borderId="0" xfId="0" applyFont="1" applyFill="1" applyAlignment="1">
      <alignment horizontal="center"/>
    </xf>
    <xf numFmtId="0" fontId="21" fillId="0" borderId="0" xfId="0" applyFont="1"/>
    <xf numFmtId="0" fontId="5" fillId="0" borderId="0" xfId="0" applyFont="1" applyAlignment="1"/>
    <xf numFmtId="0" fontId="0" fillId="0" borderId="0" xfId="0" applyFont="1" applyAlignment="1"/>
    <xf numFmtId="0" fontId="18" fillId="0" borderId="0" xfId="0" applyFont="1" applyAlignment="1">
      <alignment vertical="top" wrapText="1"/>
    </xf>
    <xf numFmtId="0" fontId="11" fillId="0" borderId="2" xfId="0" applyFont="1" applyBorder="1" applyAlignment="1"/>
    <xf numFmtId="0" fontId="0" fillId="0" borderId="3" xfId="0" applyFont="1" applyBorder="1" applyAlignment="1"/>
    <xf numFmtId="0" fontId="3" fillId="3" borderId="0" xfId="0" applyFont="1" applyFill="1" applyAlignment="1">
      <alignment horizontal="right"/>
    </xf>
    <xf numFmtId="0" fontId="0" fillId="0" borderId="1" xfId="0" applyFont="1" applyFill="1" applyBorder="1" applyAlignment="1"/>
    <xf numFmtId="9" fontId="0" fillId="0" borderId="1" xfId="2" applyFont="1" applyFill="1" applyBorder="1" applyAlignment="1"/>
    <xf numFmtId="0" fontId="3" fillId="0" borderId="1" xfId="0" applyFont="1" applyFill="1" applyBorder="1" applyAlignment="1"/>
    <xf numFmtId="0" fontId="23" fillId="0" borderId="0" xfId="0" applyFont="1" applyAlignment="1"/>
    <xf numFmtId="0" fontId="24" fillId="0" borderId="0" xfId="0" applyFont="1" applyAlignment="1"/>
    <xf numFmtId="0" fontId="3" fillId="0" borderId="0" xfId="0" applyFont="1" applyAlignment="1">
      <alignment horizontal="right"/>
    </xf>
    <xf numFmtId="9" fontId="0" fillId="0" borderId="0" xfId="0" applyNumberFormat="1" applyFont="1" applyFill="1" applyAlignment="1"/>
    <xf numFmtId="0" fontId="15" fillId="10" borderId="0" xfId="0" applyFont="1" applyFill="1" applyAlignment="1"/>
    <xf numFmtId="0" fontId="17" fillId="0" borderId="0" xfId="0" applyFont="1" applyAlignment="1">
      <alignment horizontal="right"/>
    </xf>
    <xf numFmtId="0" fontId="18" fillId="11" borderId="4" xfId="0" applyFont="1" applyFill="1" applyBorder="1" applyAlignment="1"/>
    <xf numFmtId="0" fontId="17" fillId="11" borderId="5" xfId="0" applyFont="1" applyFill="1" applyBorder="1" applyAlignment="1"/>
    <xf numFmtId="0" fontId="17" fillId="11" borderId="6" xfId="0" applyFont="1" applyFill="1" applyBorder="1" applyAlignment="1"/>
    <xf numFmtId="0" fontId="16" fillId="0" borderId="0" xfId="0" applyFont="1" applyAlignment="1">
      <alignment horizontal="right"/>
    </xf>
    <xf numFmtId="0" fontId="16" fillId="0" borderId="7" xfId="0" applyFont="1" applyBorder="1" applyAlignment="1">
      <alignment horizontal="right"/>
    </xf>
    <xf numFmtId="0" fontId="15" fillId="10" borderId="0" xfId="0" applyNumberFormat="1" applyFont="1" applyFill="1" applyAlignment="1"/>
    <xf numFmtId="0" fontId="0" fillId="12" borderId="0" xfId="0" applyFont="1" applyFill="1" applyAlignment="1">
      <alignment horizontal="right"/>
    </xf>
    <xf numFmtId="0" fontId="17" fillId="0" borderId="0" xfId="0" applyFont="1" applyAlignment="1">
      <alignment horizontal="left"/>
    </xf>
    <xf numFmtId="0" fontId="23" fillId="6" borderId="0" xfId="0" applyFont="1" applyFill="1" applyAlignment="1"/>
    <xf numFmtId="0" fontId="0" fillId="0" borderId="0" xfId="0" applyFont="1" applyAlignment="1"/>
    <xf numFmtId="0" fontId="0" fillId="0" borderId="0" xfId="0" applyFont="1" applyAlignment="1">
      <alignment horizontal="right"/>
    </xf>
    <xf numFmtId="0" fontId="11" fillId="0" borderId="0" xfId="0" applyFont="1" applyAlignment="1">
      <alignment horizontal="right"/>
    </xf>
    <xf numFmtId="0" fontId="0" fillId="0" borderId="3" xfId="0" applyFont="1" applyBorder="1" applyAlignment="1">
      <alignment horizontal="right"/>
    </xf>
    <xf numFmtId="0" fontId="16" fillId="6" borderId="0" xfId="0" applyFont="1" applyFill="1" applyAlignment="1">
      <alignment horizontal="left"/>
    </xf>
    <xf numFmtId="0" fontId="19" fillId="0" borderId="0" xfId="0" applyFont="1" applyAlignment="1">
      <alignment horizontal="right" vertical="top"/>
    </xf>
    <xf numFmtId="0" fontId="16" fillId="6" borderId="0" xfId="0" applyFont="1" applyFill="1" applyAlignment="1">
      <alignment horizontal="left" vertical="top" wrapText="1"/>
    </xf>
    <xf numFmtId="0" fontId="0" fillId="8" borderId="0" xfId="0" applyFont="1" applyFill="1" applyAlignment="1"/>
    <xf numFmtId="0" fontId="0" fillId="0" borderId="0" xfId="0" applyFont="1" applyBorder="1" applyAlignment="1"/>
    <xf numFmtId="0" fontId="0" fillId="0" borderId="0" xfId="0" applyFont="1" applyAlignment="1"/>
    <xf numFmtId="0" fontId="0" fillId="12" borderId="0" xfId="0" applyFont="1" applyFill="1" applyAlignment="1"/>
    <xf numFmtId="0" fontId="0" fillId="0" borderId="0" xfId="0" applyFont="1" applyAlignment="1">
      <alignment horizontal="center"/>
    </xf>
    <xf numFmtId="9" fontId="3" fillId="6" borderId="0" xfId="0" applyNumberFormat="1" applyFont="1" applyFill="1" applyAlignment="1">
      <alignment horizontal="center"/>
    </xf>
    <xf numFmtId="9" fontId="3" fillId="6" borderId="7" xfId="0" applyNumberFormat="1" applyFont="1" applyFill="1" applyBorder="1" applyAlignment="1">
      <alignment horizontal="center"/>
    </xf>
    <xf numFmtId="0" fontId="0" fillId="0" borderId="3" xfId="0" applyFont="1" applyBorder="1" applyAlignment="1">
      <alignment horizontal="center"/>
    </xf>
    <xf numFmtId="0" fontId="28" fillId="13" borderId="1" xfId="0" applyFont="1" applyFill="1" applyBorder="1" applyAlignment="1">
      <alignment horizontal="center"/>
    </xf>
    <xf numFmtId="0" fontId="28" fillId="13" borderId="1" xfId="0" applyFont="1" applyFill="1" applyBorder="1" applyAlignment="1"/>
    <xf numFmtId="0" fontId="28" fillId="13" borderId="1" xfId="2" applyNumberFormat="1" applyFont="1" applyFill="1" applyBorder="1" applyAlignment="1"/>
    <xf numFmtId="0" fontId="15" fillId="14" borderId="0" xfId="0" applyFont="1" applyFill="1"/>
    <xf numFmtId="9" fontId="15" fillId="14" borderId="0" xfId="0" applyNumberFormat="1" applyFont="1" applyFill="1"/>
    <xf numFmtId="0" fontId="28" fillId="13" borderId="0" xfId="0" applyFont="1" applyFill="1" applyBorder="1" applyAlignment="1"/>
    <xf numFmtId="0" fontId="28" fillId="13" borderId="0" xfId="0" applyFont="1" applyFill="1" applyAlignment="1"/>
    <xf numFmtId="0" fontId="29" fillId="15" borderId="0" xfId="0" applyFont="1" applyFill="1" applyAlignment="1"/>
    <xf numFmtId="0" fontId="30" fillId="0" borderId="0" xfId="0" applyFont="1" applyFill="1" applyAlignment="1"/>
    <xf numFmtId="0" fontId="3" fillId="12" borderId="0" xfId="0" applyFont="1" applyFill="1" applyAlignment="1">
      <alignment horizontal="right"/>
    </xf>
    <xf numFmtId="0" fontId="28" fillId="15" borderId="0" xfId="0" applyFont="1" applyFill="1" applyAlignment="1"/>
    <xf numFmtId="0" fontId="16" fillId="0" borderId="0" xfId="0" applyFont="1" applyFill="1" applyAlignment="1">
      <alignment horizontal="left"/>
    </xf>
    <xf numFmtId="0" fontId="31" fillId="0" borderId="0" xfId="0" applyFont="1" applyFill="1" applyAlignment="1">
      <alignment horizontal="left"/>
    </xf>
    <xf numFmtId="0" fontId="32" fillId="0" borderId="0" xfId="0" applyFont="1" applyFill="1" applyAlignment="1">
      <alignment horizontal="left"/>
    </xf>
    <xf numFmtId="0" fontId="31" fillId="0" borderId="0" xfId="0" applyFont="1" applyFill="1" applyAlignment="1"/>
    <xf numFmtId="0" fontId="16" fillId="0" borderId="0" xfId="0" applyNumberFormat="1" applyFont="1" applyFill="1" applyAlignment="1">
      <alignment horizontal="left"/>
    </xf>
    <xf numFmtId="14" fontId="16" fillId="0" borderId="0" xfId="0" applyNumberFormat="1" applyFont="1" applyFill="1" applyAlignment="1">
      <alignment horizontal="left"/>
    </xf>
    <xf numFmtId="0" fontId="33" fillId="0" borderId="0" xfId="0" applyNumberFormat="1" applyFont="1" applyFill="1" applyAlignment="1">
      <alignment horizontal="left"/>
    </xf>
    <xf numFmtId="0" fontId="34" fillId="0" borderId="0" xfId="0" applyFont="1" applyFill="1" applyAlignment="1"/>
    <xf numFmtId="0" fontId="35" fillId="0" borderId="0" xfId="0" applyFont="1" applyFill="1" applyAlignment="1"/>
    <xf numFmtId="14" fontId="5" fillId="0" borderId="0" xfId="0" applyNumberFormat="1" applyFont="1" applyFill="1" applyAlignment="1">
      <alignment horizontal="left"/>
    </xf>
    <xf numFmtId="0" fontId="0" fillId="0" borderId="0" xfId="0" applyFont="1" applyAlignment="1">
      <alignment wrapText="1"/>
    </xf>
    <xf numFmtId="0" fontId="36" fillId="0" borderId="0" xfId="0" applyFont="1" applyAlignment="1"/>
    <xf numFmtId="0" fontId="37" fillId="0" borderId="0" xfId="0" applyFont="1" applyAlignment="1"/>
    <xf numFmtId="0" fontId="30" fillId="0" borderId="0" xfId="0" applyFont="1" applyAlignment="1"/>
    <xf numFmtId="0" fontId="0" fillId="0" borderId="0" xfId="0" applyFont="1" applyAlignment="1"/>
    <xf numFmtId="0" fontId="18" fillId="16" borderId="8" xfId="0" applyFont="1" applyFill="1" applyBorder="1" applyAlignment="1"/>
    <xf numFmtId="0" fontId="0" fillId="16" borderId="9" xfId="0" applyFont="1" applyFill="1" applyBorder="1" applyAlignment="1"/>
    <xf numFmtId="0" fontId="0" fillId="16" borderId="10" xfId="0" applyFont="1" applyFill="1" applyBorder="1" applyAlignment="1"/>
    <xf numFmtId="0" fontId="17" fillId="16" borderId="11" xfId="0" applyFont="1" applyFill="1" applyBorder="1" applyAlignment="1"/>
    <xf numFmtId="0" fontId="0" fillId="16" borderId="0" xfId="0" applyFont="1" applyFill="1" applyBorder="1" applyAlignment="1"/>
    <xf numFmtId="0" fontId="0" fillId="16" borderId="12" xfId="0" applyFont="1" applyFill="1" applyBorder="1" applyAlignment="1"/>
    <xf numFmtId="0" fontId="14" fillId="16" borderId="0" xfId="1" applyFill="1" applyBorder="1" applyAlignment="1"/>
    <xf numFmtId="0" fontId="0" fillId="16" borderId="13" xfId="0" applyFont="1" applyFill="1" applyBorder="1" applyAlignment="1"/>
    <xf numFmtId="0" fontId="0" fillId="16" borderId="14" xfId="0" applyFont="1" applyFill="1" applyBorder="1" applyAlignment="1"/>
    <xf numFmtId="0" fontId="0" fillId="16" borderId="15" xfId="0" applyFont="1" applyFill="1" applyBorder="1" applyAlignment="1"/>
    <xf numFmtId="0" fontId="38" fillId="0" borderId="0" xfId="0" applyFont="1"/>
    <xf numFmtId="0" fontId="15" fillId="15" borderId="0" xfId="0" applyFont="1" applyFill="1" applyAlignment="1"/>
    <xf numFmtId="0" fontId="20" fillId="0" borderId="0" xfId="0" applyFont="1" applyAlignment="1"/>
    <xf numFmtId="0" fontId="0" fillId="17" borderId="0" xfId="0" applyFont="1" applyFill="1" applyAlignment="1"/>
    <xf numFmtId="0" fontId="17" fillId="17" borderId="0" xfId="0" applyFont="1" applyFill="1" applyAlignment="1"/>
    <xf numFmtId="0" fontId="5" fillId="0" borderId="0" xfId="0" applyFont="1" applyAlignment="1"/>
    <xf numFmtId="0" fontId="0" fillId="0" borderId="0" xfId="0" applyFont="1" applyAlignment="1"/>
    <xf numFmtId="14" fontId="0" fillId="0" borderId="0" xfId="0" applyNumberFormat="1" applyFont="1" applyAlignment="1"/>
    <xf numFmtId="0" fontId="0" fillId="0" borderId="0" xfId="0"/>
    <xf numFmtId="0" fontId="8" fillId="0" borderId="0" xfId="0" applyFont="1" applyAlignment="1">
      <alignment horizontal="right"/>
    </xf>
    <xf numFmtId="0" fontId="6" fillId="0" borderId="0" xfId="0" applyFont="1" applyAlignment="1">
      <alignment horizontal="right"/>
    </xf>
    <xf numFmtId="0" fontId="14" fillId="18" borderId="1" xfId="1" applyFill="1" applyBorder="1" applyAlignment="1"/>
    <xf numFmtId="0" fontId="0" fillId="18" borderId="1" xfId="0" applyFont="1" applyFill="1" applyBorder="1" applyAlignment="1"/>
    <xf numFmtId="0" fontId="17" fillId="17" borderId="0" xfId="0" applyFont="1" applyFill="1"/>
    <xf numFmtId="0" fontId="0" fillId="8" borderId="0" xfId="0" applyFill="1"/>
    <xf numFmtId="0" fontId="17" fillId="18" borderId="1" xfId="0" applyFont="1" applyFill="1" applyBorder="1" applyAlignment="1"/>
    <xf numFmtId="0" fontId="18" fillId="19" borderId="0" xfId="0" applyFont="1" applyFill="1" applyAlignment="1"/>
    <xf numFmtId="0" fontId="6" fillId="0" borderId="0" xfId="0" applyFont="1"/>
    <xf numFmtId="0" fontId="20" fillId="17" borderId="0" xfId="0" applyFont="1" applyFill="1"/>
    <xf numFmtId="0" fontId="20" fillId="17" borderId="0" xfId="0" applyFont="1" applyFill="1" applyAlignment="1">
      <alignment horizontal="center"/>
    </xf>
    <xf numFmtId="0" fontId="17" fillId="0" borderId="8" xfId="0"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17" fillId="0" borderId="11" xfId="0" applyFont="1" applyBorder="1" applyAlignment="1">
      <alignment horizontal="left" vertical="top" wrapText="1"/>
    </xf>
    <xf numFmtId="0" fontId="17" fillId="0" borderId="0" xfId="0" applyFont="1" applyBorder="1" applyAlignment="1">
      <alignment horizontal="left" vertical="top" wrapText="1"/>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17" fillId="0" borderId="14" xfId="0" applyFont="1" applyBorder="1" applyAlignment="1">
      <alignment horizontal="left" vertical="top" wrapText="1"/>
    </xf>
    <xf numFmtId="0" fontId="17" fillId="0" borderId="15" xfId="0" applyFont="1" applyBorder="1" applyAlignment="1">
      <alignment horizontal="left" vertical="top" wrapText="1"/>
    </xf>
    <xf numFmtId="0" fontId="17" fillId="0" borderId="8"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17" fillId="0" borderId="11" xfId="0" applyFont="1" applyBorder="1" applyAlignment="1">
      <alignment horizontal="center" wrapText="1"/>
    </xf>
    <xf numFmtId="0" fontId="17" fillId="0" borderId="0" xfId="0" applyFont="1" applyBorder="1" applyAlignment="1">
      <alignment horizontal="center" wrapText="1"/>
    </xf>
    <xf numFmtId="0" fontId="17" fillId="0" borderId="12" xfId="0" applyFont="1" applyBorder="1" applyAlignment="1">
      <alignment horizontal="center" wrapText="1"/>
    </xf>
    <xf numFmtId="0" fontId="17" fillId="0" borderId="13" xfId="0" applyFont="1" applyBorder="1" applyAlignment="1">
      <alignment horizontal="center" wrapText="1"/>
    </xf>
    <xf numFmtId="0" fontId="17" fillId="0" borderId="14" xfId="0" applyFont="1" applyBorder="1" applyAlignment="1">
      <alignment horizontal="center" wrapText="1"/>
    </xf>
    <xf numFmtId="0" fontId="17" fillId="0" borderId="15" xfId="0" applyFont="1" applyBorder="1" applyAlignment="1">
      <alignment horizontal="center" wrapText="1"/>
    </xf>
    <xf numFmtId="0" fontId="5" fillId="0" borderId="0" xfId="0" applyFont="1" applyAlignment="1"/>
    <xf numFmtId="0" fontId="0" fillId="0" borderId="0" xfId="0" applyFont="1" applyAlignment="1"/>
    <xf numFmtId="0" fontId="6" fillId="0" borderId="0" xfId="0" applyFont="1" applyAlignment="1"/>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5" xfId="0" applyFont="1" applyBorder="1" applyAlignment="1">
      <alignment horizontal="center" vertical="center" wrapText="1"/>
    </xf>
    <xf numFmtId="0" fontId="9" fillId="0" borderId="0" xfId="0" applyFont="1" applyAlignment="1"/>
    <xf numFmtId="0" fontId="17" fillId="0" borderId="0" xfId="0" applyFont="1" applyAlignment="1">
      <alignment horizontal="center" vertical="center" wrapText="1"/>
    </xf>
    <xf numFmtId="0" fontId="14" fillId="17" borderId="0" xfId="1" applyFill="1" applyAlignment="1"/>
  </cellXfs>
  <cellStyles count="3">
    <cellStyle name="Hyperlink" xfId="1" builtinId="8"/>
    <cellStyle name="Normal" xfId="0" builtinId="0"/>
    <cellStyle name="Per cent" xfId="2" builtinId="5"/>
  </cellStyles>
  <dxfs count="16">
    <dxf>
      <font>
        <b val="0"/>
        <i val="0"/>
        <strike val="0"/>
        <condense val="0"/>
        <extend val="0"/>
        <outline val="0"/>
        <shadow val="0"/>
        <u val="none"/>
        <vertAlign val="baseline"/>
        <sz val="10"/>
        <color rgb="FF000000"/>
        <name val="Arial"/>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numFmt numFmtId="1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minor"/>
      </font>
      <fill>
        <patternFill patternType="none">
          <fgColor indexed="64"/>
          <bgColor indexed="65"/>
        </patternFill>
      </fill>
      <alignment horizontal="general" vertical="bottom" textRotation="0" wrapText="0" indent="0" justifyLastLine="0" shrinkToFit="0" readingOrder="0"/>
    </dxf>
  </dxfs>
  <tableStyles count="0" defaultTableStyle="TableStyleMedium2" defaultPivotStyle="PivotStyleLight16"/>
  <colors>
    <mruColors>
      <color rgb="FF707070"/>
      <color rgb="FF585858"/>
      <color rgb="FF4F4F4F"/>
      <color rgb="FF3E3E3E"/>
      <color rgb="FF2727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5C3BFEA-06E0-3E4F-85B3-98B1753B03C2}" name="items_table" displayName="items_table" ref="BH37:BU47" totalsRowShown="0" headerRowDxfId="15" dataDxfId="14">
  <autoFilter ref="BH37:BU47" xr:uid="{09A8FF2E-12B5-8D48-93E5-2BC511BC787B}"/>
  <tableColumns count="14">
    <tableColumn id="8" xr3:uid="{FA600CBB-228E-524E-8D0C-17D1FD26C01E}" name="id" dataDxfId="13">
      <calculatedColumnFormula>IF(AND(LEN(BH7)&gt;0,show_ids),ROW(BH7)-ROW($BH$6),"")</calculatedColumnFormula>
    </tableColumn>
    <tableColumn id="1" xr3:uid="{94865E0C-8A56-6E48-985B-BC4C28596F6F}" name="name" dataDxfId="12">
      <calculatedColumnFormula>BH7</calculatedColumnFormula>
    </tableColumn>
    <tableColumn id="2" xr3:uid="{10E21F78-7E2B-9F4F-8B56-F77B0A3F94DE}" name="unit_price" dataDxfId="11">
      <calculatedColumnFormula>BJ7</calculatedColumnFormula>
    </tableColumn>
    <tableColumn id="3" xr3:uid="{462D81EF-C6CA-2841-848F-17AAC8F41A6F}" name="disc_unit" dataDxfId="10">
      <calculatedColumnFormula>BK7</calculatedColumnFormula>
    </tableColumn>
    <tableColumn id="4" xr3:uid="{6DF0C915-122F-5840-B5D7-C016579E5EDB}" name="unit_post_disc" dataDxfId="9">
      <calculatedColumnFormula>BL7</calculatedColumnFormula>
    </tableColumn>
    <tableColumn id="5" xr3:uid="{2BF00418-B5ED-154A-93BB-2EC3031BD584}" name="qty" dataDxfId="8">
      <calculatedColumnFormula>S7</calculatedColumnFormula>
    </tableColumn>
    <tableColumn id="10" xr3:uid="{94CED6EA-34A5-D145-9E57-AB405886D3F1}" name="subtotal_post_unit_disc" dataDxfId="7">
      <calculatedColumnFormula>BO7</calculatedColumnFormula>
    </tableColumn>
    <tableColumn id="9" xr3:uid="{D9C2CA39-4CFD-2146-9AA7-402E5E9EEB0F}" name="disc_subtotal" dataDxfId="6">
      <calculatedColumnFormula>BP7</calculatedColumnFormula>
    </tableColumn>
    <tableColumn id="11" xr3:uid="{8F91F3BC-7426-064C-B1E5-C9B2434FCABB}" name="subtotal_post_overall_disc" dataDxfId="5">
      <calculatedColumnFormula>BQ7</calculatedColumnFormula>
    </tableColumn>
    <tableColumn id="6" xr3:uid="{F54936FA-FBC7-3D44-AF90-566E778C3A28}" name="vat_per" dataDxfId="4">
      <calculatedColumnFormula>BU7</calculatedColumnFormula>
    </tableColumn>
    <tableColumn id="12" xr3:uid="{4CD71367-14AD-3246-A920-F4D8D1FFFA01}" name="vat_amount" dataDxfId="3">
      <calculatedColumnFormula>BV7</calculatedColumnFormula>
    </tableColumn>
    <tableColumn id="13" xr3:uid="{37FA3EA3-004B-7F4D-874A-16763C641CA3}" name="subtotal_post_vat" dataDxfId="2">
      <calculatedColumnFormula>BW7</calculatedColumnFormula>
    </tableColumn>
    <tableColumn id="14" xr3:uid="{7FD29590-C9D6-8F43-A04C-0FC8E2C74CA8}" name="note" dataDxfId="1">
      <calculatedColumnFormula>BX7</calculatedColumnFormula>
    </tableColumn>
    <tableColumn id="15" xr3:uid="{53D86638-E676-4849-927F-1C4D39C8C706}" name="thumb" dataDxfId="0">
      <calculatedColumnFormula>I7</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app.molnify.com/" TargetMode="External"/><Relationship Id="rId2" Type="http://schemas.openxmlformats.org/officeDocument/2006/relationships/hyperlink" Target="mailto:info@molnify.com" TargetMode="External"/><Relationship Id="rId1" Type="http://schemas.openxmlformats.org/officeDocument/2006/relationships/hyperlink" Target="https://storage.googleapis.com/molnify-media/fileuploaddemo/9af4bic2vbsb241rvnu6bn8fho7n6s8uu01r5e3a2phg9oh8o3fj-molnify_logo_med_symbol_vit.png" TargetMode="External"/><Relationship Id="rId5" Type="http://schemas.openxmlformats.org/officeDocument/2006/relationships/printerSettings" Target="../printerSettings/printerSettings1.bin"/><Relationship Id="rId4" Type="http://schemas.openxmlformats.org/officeDocument/2006/relationships/hyperlink" Target="https://youtube.com/c/molnify"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youtube.com/c/molnify" TargetMode="External"/><Relationship Id="rId2" Type="http://schemas.openxmlformats.org/officeDocument/2006/relationships/hyperlink" Target="https://www.facebook.com/molnifyapps" TargetMode="External"/><Relationship Id="rId1" Type="http://schemas.openxmlformats.org/officeDocument/2006/relationships/hyperlink" Target="https://www.linkedin.com/company/molnify"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https://app.molnify.com/app/salesorderapp_eng"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recipient@mail.com"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mailto:fredrik.jureen@molnify.com;mattias@molnify.com" TargetMode="Externa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table" Target="../tables/table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C3:L24"/>
  <sheetViews>
    <sheetView tabSelected="1" workbookViewId="0">
      <selection activeCell="D5" sqref="D5"/>
    </sheetView>
  </sheetViews>
  <sheetFormatPr baseColWidth="10" defaultColWidth="12.6640625" defaultRowHeight="15.75" customHeight="1"/>
  <cols>
    <col min="7" max="7" width="30.33203125" customWidth="1"/>
  </cols>
  <sheetData>
    <row r="3" spans="3:12" ht="15.75" customHeight="1" thickBot="1"/>
    <row r="4" spans="3:12" ht="15.75" customHeight="1">
      <c r="C4" s="36" t="s">
        <v>0</v>
      </c>
      <c r="D4" s="36" t="s">
        <v>599</v>
      </c>
      <c r="G4" s="161" t="s">
        <v>566</v>
      </c>
      <c r="H4" s="162"/>
      <c r="I4" s="162"/>
      <c r="J4" s="162"/>
      <c r="K4" s="163"/>
      <c r="L4" s="126"/>
    </row>
    <row r="5" spans="3:12" ht="15.75" customHeight="1">
      <c r="C5" s="36" t="s">
        <v>1</v>
      </c>
      <c r="D5" s="36" t="s">
        <v>2</v>
      </c>
      <c r="G5" s="164"/>
      <c r="H5" s="165"/>
      <c r="I5" s="165"/>
      <c r="J5" s="165"/>
      <c r="K5" s="166"/>
      <c r="L5" s="126"/>
    </row>
    <row r="6" spans="3:12" ht="15.75" customHeight="1">
      <c r="C6" s="36" t="s">
        <v>3</v>
      </c>
      <c r="D6" s="36" t="s">
        <v>4</v>
      </c>
      <c r="G6" s="164"/>
      <c r="H6" s="165"/>
      <c r="I6" s="165"/>
      <c r="J6" s="165"/>
      <c r="K6" s="166"/>
      <c r="L6" s="126"/>
    </row>
    <row r="7" spans="3:12" ht="15.75" customHeight="1">
      <c r="C7" s="36" t="s">
        <v>5</v>
      </c>
      <c r="D7" s="36" t="s">
        <v>6</v>
      </c>
      <c r="G7" s="164"/>
      <c r="H7" s="165"/>
      <c r="I7" s="165"/>
      <c r="J7" s="165"/>
      <c r="K7" s="166"/>
      <c r="L7" s="126"/>
    </row>
    <row r="8" spans="3:12" ht="15.75" customHeight="1">
      <c r="C8" s="36" t="s">
        <v>7</v>
      </c>
      <c r="D8" s="36" t="s">
        <v>8</v>
      </c>
      <c r="G8" s="164"/>
      <c r="H8" s="165"/>
      <c r="I8" s="165"/>
      <c r="J8" s="165"/>
      <c r="K8" s="166"/>
      <c r="L8" s="126"/>
    </row>
    <row r="9" spans="3:12" ht="15.75" customHeight="1">
      <c r="C9" s="36" t="s">
        <v>9</v>
      </c>
      <c r="D9" s="36" t="b">
        <v>1</v>
      </c>
      <c r="G9" s="164"/>
      <c r="H9" s="165"/>
      <c r="I9" s="165"/>
      <c r="J9" s="165"/>
      <c r="K9" s="166"/>
      <c r="L9" s="126"/>
    </row>
    <row r="10" spans="3:12" ht="15.75" customHeight="1">
      <c r="C10" s="36" t="s">
        <v>10</v>
      </c>
      <c r="D10" s="37" t="s">
        <v>11</v>
      </c>
      <c r="G10" s="164"/>
      <c r="H10" s="165"/>
      <c r="I10" s="165"/>
      <c r="J10" s="165"/>
      <c r="K10" s="166"/>
      <c r="L10" s="126"/>
    </row>
    <row r="11" spans="3:12" ht="15.75" customHeight="1">
      <c r="C11" s="36" t="s">
        <v>12</v>
      </c>
      <c r="D11" s="36" t="b">
        <v>1</v>
      </c>
      <c r="G11" s="164"/>
      <c r="H11" s="165"/>
      <c r="I11" s="165"/>
      <c r="J11" s="165"/>
      <c r="K11" s="166"/>
      <c r="L11" s="126"/>
    </row>
    <row r="12" spans="3:12" ht="15.75" customHeight="1">
      <c r="C12" s="36" t="s">
        <v>13</v>
      </c>
      <c r="D12" s="36" t="b">
        <v>1</v>
      </c>
      <c r="G12" s="164"/>
      <c r="H12" s="165"/>
      <c r="I12" s="165"/>
      <c r="J12" s="165"/>
      <c r="K12" s="166"/>
      <c r="L12" s="126"/>
    </row>
    <row r="13" spans="3:12" ht="15.75" customHeight="1">
      <c r="C13" s="36" t="s">
        <v>14</v>
      </c>
      <c r="D13" s="36" t="b">
        <v>1</v>
      </c>
      <c r="G13" s="164"/>
      <c r="H13" s="165"/>
      <c r="I13" s="165"/>
      <c r="J13" s="165"/>
      <c r="K13" s="166"/>
      <c r="L13" s="126"/>
    </row>
    <row r="14" spans="3:12" ht="15.75" customHeight="1" thickBot="1">
      <c r="C14" s="36" t="s">
        <v>15</v>
      </c>
      <c r="D14" s="36" t="b">
        <v>1</v>
      </c>
      <c r="G14" s="167"/>
      <c r="H14" s="168"/>
      <c r="I14" s="168"/>
      <c r="J14" s="168"/>
      <c r="K14" s="169"/>
      <c r="L14" s="126"/>
    </row>
    <row r="18" spans="7:10" ht="15.75" customHeight="1" thickBot="1"/>
    <row r="19" spans="7:10" ht="15.75" customHeight="1">
      <c r="G19" s="131" t="s">
        <v>573</v>
      </c>
      <c r="H19" s="132"/>
      <c r="I19" s="132"/>
      <c r="J19" s="133"/>
    </row>
    <row r="20" spans="7:10" ht="15.75" customHeight="1">
      <c r="G20" s="134" t="s">
        <v>575</v>
      </c>
      <c r="H20" s="137" t="s">
        <v>574</v>
      </c>
      <c r="I20" s="135"/>
      <c r="J20" s="136"/>
    </row>
    <row r="21" spans="7:10" ht="15.75" customHeight="1">
      <c r="G21" s="134" t="s">
        <v>576</v>
      </c>
      <c r="H21" s="137" t="s">
        <v>577</v>
      </c>
      <c r="I21" s="135"/>
      <c r="J21" s="136"/>
    </row>
    <row r="22" spans="7:10" ht="15.75" customHeight="1">
      <c r="G22" s="134" t="s">
        <v>578</v>
      </c>
      <c r="H22" s="137" t="s">
        <v>579</v>
      </c>
      <c r="I22" s="135"/>
      <c r="J22" s="136"/>
    </row>
    <row r="23" spans="7:10" ht="15.75" customHeight="1">
      <c r="G23" s="134" t="s">
        <v>580</v>
      </c>
      <c r="H23" s="137" t="s">
        <v>422</v>
      </c>
      <c r="I23" s="135"/>
      <c r="J23" s="136"/>
    </row>
    <row r="24" spans="7:10" ht="15.75" customHeight="1" thickBot="1">
      <c r="G24" s="138"/>
      <c r="H24" s="139"/>
      <c r="I24" s="139"/>
      <c r="J24" s="140"/>
    </row>
  </sheetData>
  <mergeCells count="1">
    <mergeCell ref="G4:K14"/>
  </mergeCells>
  <hyperlinks>
    <hyperlink ref="D10" r:id="rId1" xr:uid="{00000000-0004-0000-0000-000000000000}"/>
    <hyperlink ref="H23" r:id="rId2" xr:uid="{05D1AE65-9EF5-4E58-A022-2DDF4ECE09D0}"/>
    <hyperlink ref="H22" r:id="rId3" xr:uid="{DB343361-4388-44A7-BFC4-FFC94678A96D}"/>
    <hyperlink ref="H21" r:id="rId4" xr:uid="{279EF75B-8CA3-43AB-A225-46BEC614580C}"/>
  </hyperlinks>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B2:O52"/>
  <sheetViews>
    <sheetView workbookViewId="0">
      <selection activeCell="F3" sqref="F3"/>
    </sheetView>
  </sheetViews>
  <sheetFormatPr baseColWidth="10" defaultColWidth="12.6640625" defaultRowHeight="15.75" customHeight="1"/>
  <cols>
    <col min="2" max="2" width="12.6640625" style="91"/>
    <col min="3" max="3" width="19.83203125" customWidth="1"/>
  </cols>
  <sheetData>
    <row r="2" spans="2:15" ht="15.75" customHeight="1">
      <c r="B2" s="80" t="s">
        <v>583</v>
      </c>
      <c r="C2" s="97"/>
      <c r="D2" s="146" t="s">
        <v>587</v>
      </c>
      <c r="E2" s="157" t="s">
        <v>593</v>
      </c>
      <c r="F2" s="157" t="s">
        <v>591</v>
      </c>
    </row>
    <row r="3" spans="2:15" s="147" customFormat="1" ht="15.75" customHeight="1">
      <c r="B3" s="80"/>
      <c r="C3" s="97" t="str">
        <f>$E$3 &amp; $E$4</f>
        <v>&lt;a href="https://app.molnify.com/app/salesorderapp_eng#c2FsZXNvcmRlcmFwcF9lbmctZnJlZHJpay5qdXJlZW5AbW9sbmlmeS5jb20tRGVtbw%3D%3D" onclick="setTimeout(location.reload.bind(location), 1)"&gt;&lt;button type="button" class="btn btn-sm btn-success buttonMargin molnifyActionButton" style="margin-right: 25px"&gt;Load Demo Order&lt;/button&gt;&lt;/a&gt;&lt;a href="javascript:performAction($('#actionsBtn1')[0], 6);"&gt;&lt;button type="button" class="btn btn-sm btn-success buttonMargin molnifyActionButton"&gt;Send PDF&lt;/button&gt;&lt;/a&gt;</v>
      </c>
      <c r="D3" s="146" t="s">
        <v>589</v>
      </c>
      <c r="E3" s="153" t="str">
        <f>"&lt;a href=""" &amp; $F$3 &amp; """ onclick=""setTimeout(location.reload.bind(location), 1)""&gt;&lt;button type=""button"" class=""btn btn-sm btn-success buttonMargin molnifyActionButton"" style=""margin-right: 25px""&gt;Load Demo Order&lt;/button&gt;&lt;/a&gt;"</f>
        <v>&lt;a href="https://app.molnify.com/app/salesorderapp_eng#c2FsZXNvcmRlcmFwcF9lbmctZnJlZHJpay5qdXJlZW5AbW9sbmlmeS5jb20tRGVtbw%3D%3D" onclick="setTimeout(location.reload.bind(location), 1)"&gt;&lt;button type="button" class="btn btn-sm btn-success buttonMargin molnifyActionButton" style="margin-right: 25px"&gt;Load Demo Order&lt;/button&gt;&lt;/a&gt;</v>
      </c>
      <c r="F3" s="152" t="s">
        <v>590</v>
      </c>
    </row>
    <row r="4" spans="2:15" s="147" customFormat="1" ht="15.75" customHeight="1">
      <c r="B4" s="80"/>
      <c r="D4" s="146"/>
      <c r="E4" s="156" t="str">
        <f>"&lt;a href=""" &amp; $F$4 &amp; """&gt;&lt;button type=""button"" class=""btn btn-sm btn-success buttonMargin molnifyActionButton""&gt;Send PDF&lt;/button&gt;&lt;/a&gt;"</f>
        <v>&lt;a href="javascript:performAction($('#actionsBtn1')[0], 6);"&gt;&lt;button type="button" class="btn btn-sm btn-success buttonMargin molnifyActionButton"&gt;Send PDF&lt;/button&gt;&lt;/a&gt;</v>
      </c>
      <c r="F4" s="156" t="s">
        <v>594</v>
      </c>
    </row>
    <row r="5" spans="2:15" s="147" customFormat="1" ht="15.75" customHeight="1"/>
    <row r="6" spans="2:15" s="147" customFormat="1" ht="15.75" customHeight="1">
      <c r="B6" s="80"/>
      <c r="C6" s="155"/>
      <c r="D6" s="62" t="s">
        <v>592</v>
      </c>
    </row>
    <row r="7" spans="2:15" ht="15.75" customHeight="1" thickBot="1"/>
    <row r="8" spans="2:15" ht="15.75" customHeight="1">
      <c r="G8" s="170" t="s">
        <v>567</v>
      </c>
      <c r="H8" s="171"/>
      <c r="I8" s="171"/>
      <c r="J8" s="171"/>
      <c r="K8" s="171"/>
      <c r="L8" s="171"/>
      <c r="M8" s="171"/>
      <c r="N8" s="171"/>
      <c r="O8" s="172"/>
    </row>
    <row r="9" spans="2:15" ht="15.75" customHeight="1">
      <c r="G9" s="173"/>
      <c r="H9" s="174"/>
      <c r="I9" s="174"/>
      <c r="J9" s="174"/>
      <c r="K9" s="174"/>
      <c r="L9" s="174"/>
      <c r="M9" s="174"/>
      <c r="N9" s="174"/>
      <c r="O9" s="175"/>
    </row>
    <row r="10" spans="2:15" ht="15.75" customHeight="1">
      <c r="C10" s="35" t="str">
        <f>CONCATENATE(C14,C15,C16,C17,C18,C19,C18,C20,C18,C21,C18,C22,C23,C26,C27,C28,C30,C31,D31,E31,F31,C32,D32,E32,F32,C33,D33,E33,F33)</f>
        <v>&lt;h4&gt;Turn your product list into a complete ordering system&lt;/h4&gt;This app is built so that it can be easily modified and contain products other than those that are embedded in it now. In the app you can search for products, enter numbers, give discounts in different ways and quickly get access to product information. If updates occur, eg a price adjustment, this happens simultaneously for all users without having to download any new version - the latest version of the app is always the one you find online. &lt;br&gt; &lt;br&gt; The app can be used on a computer, &lt;a href="https://app.molnify.com/test-devices/salesorderapp_eng" target="_blank"&gt;mobile phone or tablet.&lt;/a&gt;&lt;h4&gt;How to use the order app&lt;/h4&gt;Start by clicking on the Customer tab and fill in your customers contact information and then proceed to the Order tab. Here you can search and add products, provide different discounts and also add individual notes.&lt;br&gt;&lt;br&gt;When your order is done, you can save it by clicking the Save or Update button located at the bottom left side of the page. The order will be named after the customers name and today's date. If you enter an email address, the an email will also be sent to that email address when you save the order.&lt;br&gt;&lt;br&gt;This app was created in Excel with basic Excel formulas and uploaded to Molnify as an app. It can be quickly changed with other products, but also other logos, colors and fonts. &lt;br&gt;&lt;br&gt;&lt;h4&gt;Create your own order app&lt;/h4&gt;Do you have a product list in Excel and would like to look at the possibilities of having an order application for your company? Register for a free 14-day trial account at &lt;a href="https://app.molnify.com" target="blank"&gt; app.molnify.com&lt;/a&gt;. Make sure to also visit &lt;a href="https://youtube.com/c/molnify/videos" target="blank"&gt; our YouTube channel&lt;/a&gt; for some video tutorials to get you started! &lt;br&gt; &lt;br&gt;&lt;iframe width="373" height="210" src="https://www.youtube.com/embed/eT-ZCIb2wqE" frameborder="0" allow="autoplay; encrypted-media" allowfullscreen&gt;&lt;/iframe&gt;&lt;h4&gt;More App-building resources&lt;/h4&gt;&lt;ul&gt;&lt;li&gt;Read the &lt;a href="https://storage.googleapis.com/molnify-media/fileuploaddemo/a7ep5fg9aecdhp3u0hqbilkcfk8m3nh04o11df94lnlk6c81b38d-20220426-salesorder%20app%20explanation.pdf" target="_blank"&gt;quick guide&lt;/a&gt;.&lt;/li&gt;&lt;li&gt;Download the &lt;a href="https://storage.googleapis.com/molnify-media/fileuploaddemo/gftv0ia7s3dqui2ndckatvqnmssjcejfnevd0ed8fvp38f3gc7a-20220428_salesorderapp_eng.zip" target="_blank"&gt;work files&lt;/a&gt;. &lt;span class="btn btn-xs btn-icon btn-circle btn-success btn-tour" data-toggle="tooltip" data-placement="right" title="Includes the .xlsx file used for building the Molnify App, and the files used for generating the PDF: An index.html mustache template file, a style.css file used by the template, and a collection of .ttf font files."&gt;&lt;i class="fa fa-question"&gt;&lt;/i&gt;&lt;/span&gt;&lt;/li&gt;&lt;/ul&gt;&lt;h4&gt;Visit Molnify through our social channels&lt;/h4&gt;&lt;ul&gt;&lt;li&gt;&lt;a href='https://www.linkedin.com/company/molnify' target='_blank'&gt; Molnify at LinkedIn&lt;/a&gt;&lt;/li&gt;&lt;li&gt;&lt;a href='https://www.facebook.com/molnifyapps' target='_blank'&gt; Molnify at Facebook&lt;/a&gt;&lt;/li&gt;&lt;li&gt;&lt;a href='https://www.youtube.com/c/molnify' target='_blank'&gt; Molnify at YouTube&lt;/a&gt;&lt;/li&gt;&lt;/ul&gt;</v>
      </c>
      <c r="D10" s="1" t="s">
        <v>16</v>
      </c>
      <c r="G10" s="173"/>
      <c r="H10" s="174"/>
      <c r="I10" s="174"/>
      <c r="J10" s="174"/>
      <c r="K10" s="174"/>
      <c r="L10" s="174"/>
      <c r="M10" s="174"/>
      <c r="N10" s="174"/>
      <c r="O10" s="175"/>
    </row>
    <row r="11" spans="2:15" ht="15.75" customHeight="1" thickBot="1">
      <c r="G11" s="176"/>
      <c r="H11" s="177"/>
      <c r="I11" s="177"/>
      <c r="J11" s="177"/>
      <c r="K11" s="177"/>
      <c r="L11" s="177"/>
      <c r="M11" s="177"/>
      <c r="N11" s="177"/>
      <c r="O11" s="178"/>
    </row>
    <row r="14" spans="2:15" ht="15.75" customHeight="1">
      <c r="C14" s="2" t="s">
        <v>17</v>
      </c>
      <c r="D14" s="3"/>
      <c r="E14" s="3"/>
      <c r="F14" s="3"/>
    </row>
    <row r="15" spans="2:15" ht="15.75" customHeight="1">
      <c r="C15" s="2" t="s">
        <v>18</v>
      </c>
      <c r="D15" s="3"/>
      <c r="E15" s="3"/>
      <c r="F15" s="3"/>
    </row>
    <row r="16" spans="2:15" ht="15.75" customHeight="1">
      <c r="C16" s="2" t="s">
        <v>19</v>
      </c>
      <c r="D16" s="3"/>
      <c r="E16" s="3"/>
      <c r="F16" s="3"/>
    </row>
    <row r="17" spans="2:6" ht="15.75" customHeight="1">
      <c r="C17" s="2" t="s">
        <v>20</v>
      </c>
      <c r="D17" s="3"/>
      <c r="E17" s="3"/>
      <c r="F17" s="3"/>
    </row>
    <row r="18" spans="2:6" ht="15.75" customHeight="1">
      <c r="C18" s="2" t="s">
        <v>21</v>
      </c>
      <c r="D18" s="3"/>
      <c r="E18" s="3"/>
      <c r="F18" s="3"/>
    </row>
    <row r="19" spans="2:6" ht="15.75" customHeight="1">
      <c r="C19" s="4"/>
      <c r="D19" s="3"/>
      <c r="E19" s="3"/>
      <c r="F19" s="3"/>
    </row>
    <row r="20" spans="2:6" ht="15.75" customHeight="1">
      <c r="C20" s="2" t="s">
        <v>22</v>
      </c>
      <c r="D20" s="3"/>
      <c r="E20" s="3"/>
      <c r="F20" s="3"/>
    </row>
    <row r="21" spans="2:6" ht="15.75" customHeight="1">
      <c r="C21" s="2" t="s">
        <v>23</v>
      </c>
      <c r="D21" s="3"/>
      <c r="E21" s="3"/>
      <c r="F21" s="3"/>
    </row>
    <row r="22" spans="2:6" ht="15.75" customHeight="1">
      <c r="C22" s="2" t="s">
        <v>24</v>
      </c>
      <c r="D22" s="3"/>
      <c r="E22" s="3"/>
      <c r="F22" s="3"/>
    </row>
    <row r="23" spans="2:6" ht="15.75" customHeight="1">
      <c r="C23" s="179" t="s">
        <v>25</v>
      </c>
      <c r="D23" s="180"/>
      <c r="E23" s="180"/>
      <c r="F23" s="180"/>
    </row>
    <row r="24" spans="2:6" ht="15.75" customHeight="1">
      <c r="C24" s="179"/>
      <c r="D24" s="180"/>
      <c r="E24" s="180"/>
      <c r="F24" s="180"/>
    </row>
    <row r="26" spans="2:6" ht="15.75" customHeight="1">
      <c r="C26" s="141" t="s">
        <v>585</v>
      </c>
    </row>
    <row r="27" spans="2:6" s="130" customFormat="1" ht="15.75" customHeight="1">
      <c r="B27" s="91"/>
      <c r="C27" s="141" t="s">
        <v>582</v>
      </c>
    </row>
    <row r="28" spans="2:6" ht="15.75" customHeight="1">
      <c r="C28" s="158" t="s">
        <v>598</v>
      </c>
    </row>
    <row r="30" spans="2:6" ht="15.75" customHeight="1">
      <c r="C30" s="2" t="s">
        <v>26</v>
      </c>
      <c r="D30" s="3"/>
      <c r="E30" s="3"/>
      <c r="F30" s="3"/>
    </row>
    <row r="31" spans="2:6" ht="15.75" customHeight="1">
      <c r="C31" s="6" t="s">
        <v>27</v>
      </c>
      <c r="D31" s="5" t="s">
        <v>28</v>
      </c>
      <c r="E31" s="7" t="s">
        <v>29</v>
      </c>
      <c r="F31" s="5" t="str">
        <f>"' target='_blank'&gt; Molnify at LinkedIn&lt;/a&gt;&lt;/li&gt;"</f>
        <v>' target='_blank'&gt; Molnify at LinkedIn&lt;/a&gt;&lt;/li&gt;</v>
      </c>
    </row>
    <row r="32" spans="2:6" ht="15.75" customHeight="1">
      <c r="C32" s="6" t="s">
        <v>30</v>
      </c>
      <c r="D32" s="5" t="s">
        <v>28</v>
      </c>
      <c r="E32" s="7" t="s">
        <v>31</v>
      </c>
      <c r="F32" s="5" t="str">
        <f>"' target='_blank'&gt; Molnify at Facebook&lt;/a&gt;&lt;/li&gt;"</f>
        <v>' target='_blank'&gt; Molnify at Facebook&lt;/a&gt;&lt;/li&gt;</v>
      </c>
    </row>
    <row r="33" spans="2:6" ht="15.75" customHeight="1">
      <c r="C33" s="6" t="s">
        <v>30</v>
      </c>
      <c r="D33" s="5" t="s">
        <v>28</v>
      </c>
      <c r="E33" s="7" t="s">
        <v>32</v>
      </c>
      <c r="F33" s="5" t="str">
        <f>"' target='_blank'&gt; Molnify at YouTube&lt;/a&gt;&lt;/li&gt;&lt;/ul&gt;"</f>
        <v>' target='_blank'&gt; Molnify at YouTube&lt;/a&gt;&lt;/li&gt;&lt;/ul&gt;</v>
      </c>
    </row>
    <row r="41" spans="2:6" ht="15.75" customHeight="1">
      <c r="B41" s="29"/>
      <c r="C41" s="3"/>
      <c r="D41" s="3"/>
      <c r="E41" s="3"/>
    </row>
    <row r="42" spans="2:6" ht="15.75" customHeight="1">
      <c r="B42" s="181"/>
      <c r="C42" s="180"/>
      <c r="D42" s="180"/>
      <c r="E42" s="180"/>
    </row>
    <row r="43" spans="2:6" ht="16">
      <c r="B43" s="150"/>
      <c r="C43" s="9"/>
      <c r="D43" s="9"/>
      <c r="E43" s="3"/>
    </row>
    <row r="44" spans="2:6" ht="15.75" customHeight="1">
      <c r="B44" s="181"/>
      <c r="C44" s="180"/>
      <c r="D44" s="180"/>
      <c r="E44" s="180"/>
    </row>
    <row r="45" spans="2:6" ht="16">
      <c r="B45" s="150"/>
      <c r="C45" s="9"/>
      <c r="D45" s="9"/>
      <c r="E45" s="3"/>
    </row>
    <row r="46" spans="2:6" ht="16">
      <c r="B46" s="151"/>
      <c r="C46" s="6"/>
      <c r="D46" s="8"/>
      <c r="E46" s="3"/>
    </row>
    <row r="47" spans="2:6" ht="16">
      <c r="B47" s="151"/>
      <c r="C47" s="6"/>
      <c r="D47" s="8"/>
      <c r="E47" s="3"/>
    </row>
    <row r="48" spans="2:6" ht="16">
      <c r="B48" s="151"/>
      <c r="C48" s="6"/>
      <c r="D48" s="8"/>
      <c r="E48" s="3"/>
    </row>
    <row r="49" spans="2:5" ht="16">
      <c r="B49" s="151"/>
      <c r="C49" s="6"/>
      <c r="D49" s="8"/>
      <c r="E49" s="3"/>
    </row>
    <row r="50" spans="2:5" ht="16">
      <c r="B50" s="151"/>
      <c r="C50" s="6"/>
      <c r="D50" s="8"/>
      <c r="E50" s="3"/>
    </row>
    <row r="51" spans="2:5" ht="16">
      <c r="B51" s="151"/>
      <c r="C51" s="9"/>
      <c r="D51" s="9"/>
      <c r="E51" s="3"/>
    </row>
    <row r="52" spans="2:5" ht="15.75" customHeight="1">
      <c r="B52" s="151"/>
      <c r="C52" s="3"/>
      <c r="D52" s="3"/>
      <c r="E52" s="3"/>
    </row>
  </sheetData>
  <mergeCells count="5">
    <mergeCell ref="G8:O11"/>
    <mergeCell ref="C23:F23"/>
    <mergeCell ref="C24:F24"/>
    <mergeCell ref="B42:E42"/>
    <mergeCell ref="B44:E44"/>
  </mergeCells>
  <hyperlinks>
    <hyperlink ref="E31" r:id="rId1" xr:uid="{00000000-0004-0000-0100-000000000000}"/>
    <hyperlink ref="E32" r:id="rId2" xr:uid="{00000000-0004-0000-0100-000001000000}"/>
    <hyperlink ref="E33" r:id="rId3" xr:uid="{00000000-0004-0000-0100-000002000000}"/>
    <hyperlink ref="F3" r:id="rId4" location="c2FsZXNvcmRlcmFwcF9lbmctZnJlZHJpay5qdXJlZW5AbW9sbmlmeS5jb20tRGVtbw%3D%3D" xr:uid="{3430706C-FBE3-624E-A43B-F6C5116DA633}"/>
  </hyperlinks>
  <pageMargins left="0.7" right="0.7" top="0.75" bottom="0.75" header="0.3" footer="0.3"/>
  <legacy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B2:L19"/>
  <sheetViews>
    <sheetView workbookViewId="0">
      <selection activeCell="C3" sqref="C3"/>
    </sheetView>
  </sheetViews>
  <sheetFormatPr baseColWidth="10" defaultColWidth="12.6640625" defaultRowHeight="15.75" customHeight="1"/>
  <cols>
    <col min="2" max="2" width="16.1640625" style="49" customWidth="1"/>
    <col min="3" max="3" width="22.5" style="54" customWidth="1"/>
    <col min="4" max="4" width="22.5" style="117" customWidth="1"/>
    <col min="6" max="6" width="18.83203125" customWidth="1"/>
  </cols>
  <sheetData>
    <row r="2" spans="2:12" ht="15.75" customHeight="1" thickBot="1">
      <c r="E2" s="44" t="s">
        <v>423</v>
      </c>
      <c r="F2" s="44" t="s">
        <v>544</v>
      </c>
    </row>
    <row r="3" spans="2:12" ht="15.75" customHeight="1">
      <c r="B3" s="48" t="s">
        <v>419</v>
      </c>
      <c r="C3" s="94"/>
      <c r="D3" s="118" t="str">
        <f>E3&amp;";"&amp;"placeholder="&amp;F3</f>
        <v>tab=Contact Information;dividerName=Customer;variable=rec_company;placeholder=Recipient Company</v>
      </c>
      <c r="E3" s="42" t="s">
        <v>432</v>
      </c>
      <c r="F3" t="s">
        <v>548</v>
      </c>
      <c r="I3" s="182" t="s">
        <v>568</v>
      </c>
      <c r="J3" s="183"/>
      <c r="K3" s="183"/>
      <c r="L3" s="184"/>
    </row>
    <row r="4" spans="2:12" ht="15.75" customHeight="1">
      <c r="B4" s="48" t="s">
        <v>33</v>
      </c>
      <c r="C4" s="94"/>
      <c r="D4" s="118" t="str">
        <f t="shared" ref="D4:D15" si="0">E4&amp;";"&amp;"placeholder="&amp;F4</f>
        <v>variable=rec_person;placeholder=Recipient Person</v>
      </c>
      <c r="E4" s="42" t="s">
        <v>433</v>
      </c>
      <c r="F4" t="s">
        <v>549</v>
      </c>
      <c r="I4" s="185"/>
      <c r="J4" s="186"/>
      <c r="K4" s="186"/>
      <c r="L4" s="187"/>
    </row>
    <row r="5" spans="2:12" ht="15.75" customHeight="1">
      <c r="B5" s="48" t="s">
        <v>34</v>
      </c>
      <c r="C5" s="56"/>
      <c r="D5" s="118" t="str">
        <f t="shared" si="0"/>
        <v>variable=rec_email;placeholder=recipient@mail.com</v>
      </c>
      <c r="E5" s="42" t="s">
        <v>434</v>
      </c>
      <c r="F5" s="45" t="s">
        <v>550</v>
      </c>
      <c r="I5" s="185"/>
      <c r="J5" s="186"/>
      <c r="K5" s="186"/>
      <c r="L5" s="187"/>
    </row>
    <row r="6" spans="2:12" ht="15.75" customHeight="1">
      <c r="B6" s="48" t="s">
        <v>35</v>
      </c>
      <c r="C6" s="50"/>
      <c r="D6" s="118" t="str">
        <f t="shared" si="0"/>
        <v>variable=rec_phone;placeholder=+00 (0)11 222 33 44</v>
      </c>
      <c r="E6" s="42" t="s">
        <v>435</v>
      </c>
      <c r="F6" t="s">
        <v>545</v>
      </c>
      <c r="I6" s="185"/>
      <c r="J6" s="186"/>
      <c r="K6" s="186"/>
      <c r="L6" s="187"/>
    </row>
    <row r="7" spans="2:12" s="32" customFormat="1" ht="55" customHeight="1">
      <c r="B7" s="95" t="s">
        <v>420</v>
      </c>
      <c r="C7" s="96"/>
      <c r="D7" s="118" t="str">
        <f t="shared" si="0"/>
        <v>textarea;variable=rec_address;placeholder=501 Recipient Street
Cedar Rapids, IA 52402
Cedar CE0 1GB</v>
      </c>
      <c r="E7" s="42" t="s">
        <v>436</v>
      </c>
      <c r="F7" s="126" t="s">
        <v>551</v>
      </c>
      <c r="I7" s="185"/>
      <c r="J7" s="186"/>
      <c r="K7" s="186"/>
      <c r="L7" s="187"/>
    </row>
    <row r="8" spans="2:12" s="32" customFormat="1" ht="15.75" customHeight="1">
      <c r="B8" s="48"/>
      <c r="C8" s="51"/>
      <c r="D8" s="118"/>
      <c r="E8" s="42"/>
      <c r="F8" s="44"/>
      <c r="I8" s="185"/>
      <c r="J8" s="186"/>
      <c r="K8" s="186"/>
      <c r="L8" s="187"/>
    </row>
    <row r="9" spans="2:12" s="42" customFormat="1" ht="18" customHeight="1">
      <c r="B9" s="48" t="s">
        <v>419</v>
      </c>
      <c r="C9" s="50"/>
      <c r="D9" s="118" t="str">
        <f t="shared" si="0"/>
        <v>dividerName=Sender;variable=send_company;placeholder=Molnify AB</v>
      </c>
      <c r="E9" s="42" t="s">
        <v>437</v>
      </c>
      <c r="F9" s="42" t="s">
        <v>421</v>
      </c>
      <c r="I9" s="185"/>
      <c r="J9" s="186"/>
      <c r="K9" s="186"/>
      <c r="L9" s="187"/>
    </row>
    <row r="10" spans="2:12" s="31" customFormat="1" ht="18" customHeight="1" thickBot="1">
      <c r="B10" s="48" t="s">
        <v>33</v>
      </c>
      <c r="C10" s="50"/>
      <c r="D10" s="118" t="str">
        <f t="shared" si="0"/>
        <v>variable=send_person;placeholder=Molnify</v>
      </c>
      <c r="E10" s="42" t="s">
        <v>438</v>
      </c>
      <c r="F10" s="42" t="s">
        <v>423</v>
      </c>
      <c r="I10" s="188"/>
      <c r="J10" s="189"/>
      <c r="K10" s="189"/>
      <c r="L10" s="190"/>
    </row>
    <row r="11" spans="2:12" s="66" customFormat="1" ht="18" customHeight="1">
      <c r="B11" s="48" t="s">
        <v>35</v>
      </c>
      <c r="C11" s="50"/>
      <c r="D11" s="118" t="str">
        <f t="shared" si="0"/>
        <v>text;variable=send_phone;placeholder=+46 (0)10 333 06 93</v>
      </c>
      <c r="E11" s="42" t="s">
        <v>440</v>
      </c>
      <c r="F11" s="42" t="s">
        <v>425</v>
      </c>
    </row>
    <row r="12" spans="2:12" s="31" customFormat="1" ht="18" customHeight="1">
      <c r="B12" s="48" t="s">
        <v>34</v>
      </c>
      <c r="C12" s="50"/>
      <c r="D12" s="118" t="str">
        <f t="shared" si="0"/>
        <v>variable=send_email;placeholder=info@molnify.com</v>
      </c>
      <c r="E12" s="42" t="s">
        <v>439</v>
      </c>
      <c r="F12" s="45" t="s">
        <v>422</v>
      </c>
    </row>
    <row r="13" spans="2:12" s="31" customFormat="1" ht="15.75" customHeight="1">
      <c r="B13" s="48" t="s">
        <v>486</v>
      </c>
      <c r="C13" s="56"/>
      <c r="D13" s="118" t="str">
        <f t="shared" si="0"/>
        <v>variable=send_site;placeholder=www.molnify.com</v>
      </c>
      <c r="E13" s="42" t="s">
        <v>487</v>
      </c>
      <c r="F13" s="31" t="s">
        <v>488</v>
      </c>
    </row>
    <row r="14" spans="2:12" s="42" customFormat="1" ht="52" customHeight="1">
      <c r="B14" s="95" t="s">
        <v>420</v>
      </c>
      <c r="C14" s="47"/>
      <c r="D14" s="118" t="str">
        <f t="shared" si="0"/>
        <v>textarea;variable=send_address;placeholder=Surbrunnsgatan 16
SE-114 27 Stockholm
Sweden</v>
      </c>
      <c r="E14" s="42" t="s">
        <v>441</v>
      </c>
      <c r="F14" s="46" t="s">
        <v>424</v>
      </c>
    </row>
    <row r="15" spans="2:12" s="32" customFormat="1" ht="15.75" customHeight="1">
      <c r="B15" s="48" t="s">
        <v>429</v>
      </c>
      <c r="C15" s="56"/>
      <c r="D15" s="118" t="str">
        <f t="shared" si="0"/>
        <v>variable=send_logo;placeholder=https://storage.googleapis.com/molnify-media/fileuploaddemo/nlcf3la9j0od4jopkpvg8972i4ohi4f1a9a698k26btvmecthjqm-molnify_logo_med_symbol_svart__full_.png</v>
      </c>
      <c r="E15" s="42" t="s">
        <v>442</v>
      </c>
      <c r="F15" s="32" t="s">
        <v>430</v>
      </c>
    </row>
    <row r="16" spans="2:12" s="32" customFormat="1" ht="15.75" customHeight="1">
      <c r="C16" s="57" t="str">
        <f>"&lt;img src=""" &amp; C15 &amp; """ style=""height: 60px;""&gt;"</f>
        <v>&lt;img src="" style="height: 60px;"&gt;</v>
      </c>
      <c r="D16" s="42" t="s">
        <v>431</v>
      </c>
    </row>
    <row r="18" spans="4:4" s="32" customFormat="1" ht="15.75" customHeight="1">
      <c r="D18" s="119"/>
    </row>
    <row r="19" spans="4:4" s="32" customFormat="1" ht="15.75" customHeight="1">
      <c r="D19" s="119"/>
    </row>
  </sheetData>
  <mergeCells count="1">
    <mergeCell ref="I3:L10"/>
  </mergeCells>
  <hyperlinks>
    <hyperlink ref="F5" r:id="rId1" xr:uid="{B6E0DDC9-B2C2-8C46-822E-D9DC7E6D5484}"/>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B541E-AE43-B241-80B2-585FC3E918BD}">
  <dimension ref="B1:Q21"/>
  <sheetViews>
    <sheetView workbookViewId="0">
      <selection activeCell="B11" sqref="B11"/>
    </sheetView>
  </sheetViews>
  <sheetFormatPr baseColWidth="10" defaultColWidth="11.5" defaultRowHeight="13"/>
  <cols>
    <col min="2" max="2" width="17.33203125" customWidth="1"/>
    <col min="3" max="3" width="19.83203125" customWidth="1"/>
    <col min="4" max="4" width="19.83203125" style="123" customWidth="1"/>
    <col min="7" max="7" width="15.1640625" bestFit="1" customWidth="1"/>
  </cols>
  <sheetData>
    <row r="1" spans="2:17">
      <c r="E1" s="124" t="s">
        <v>423</v>
      </c>
      <c r="F1" s="44" t="s">
        <v>544</v>
      </c>
    </row>
    <row r="2" spans="2:17" ht="14">
      <c r="B2" s="48" t="s">
        <v>428</v>
      </c>
      <c r="C2" s="97"/>
      <c r="D2" s="122" t="str">
        <f ca="1">E2 &amp; ";placeholder=" &amp; F2</f>
        <v>tab=Details;noButtons;variable=inv_number;placeholder=4470453</v>
      </c>
      <c r="E2" s="42" t="s">
        <v>495</v>
      </c>
      <c r="F2" s="120" t="str">
        <f ca="1">TEXT(ROUND(NOW()*100,0),"0")</f>
        <v>4470453</v>
      </c>
      <c r="G2" s="55"/>
    </row>
    <row r="3" spans="2:17" s="34" customFormat="1" ht="14">
      <c r="B3" s="48" t="s">
        <v>472</v>
      </c>
      <c r="C3" s="97"/>
      <c r="D3" s="122" t="str">
        <f ca="1">E3 &amp; ";placeholder=" &amp; F3</f>
        <v>variable=client_ref;placeholder=CLI298</v>
      </c>
      <c r="E3" s="42" t="s">
        <v>506</v>
      </c>
      <c r="F3" s="120" t="str">
        <f ca="1">"CLI" &amp; TEXT(ROUND(NOW()/150,0),"0")</f>
        <v>CLI298</v>
      </c>
      <c r="G3" s="55"/>
    </row>
    <row r="4" spans="2:17" s="34" customFormat="1" ht="14" thickBot="1">
      <c r="D4" s="123"/>
    </row>
    <row r="5" spans="2:17" ht="14">
      <c r="B5" s="48" t="s">
        <v>36</v>
      </c>
      <c r="C5" s="52"/>
      <c r="D5" s="122" t="str">
        <f t="shared" ref="D5:D6" ca="1" si="0">E5 &amp; ";placeholder=" &amp; F5</f>
        <v>date;placeholder=44704</v>
      </c>
      <c r="E5" s="42" t="s">
        <v>510</v>
      </c>
      <c r="F5" s="125">
        <f ca="1">TODAY()</f>
        <v>44704</v>
      </c>
      <c r="H5" s="49" t="s">
        <v>511</v>
      </c>
      <c r="I5" s="100" t="str">
        <f>TEXT(C5,"MM/DD/YY")</f>
        <v>01/00/YY</v>
      </c>
      <c r="J5" s="42" t="s">
        <v>508</v>
      </c>
      <c r="N5" s="182" t="s">
        <v>569</v>
      </c>
      <c r="O5" s="183"/>
      <c r="P5" s="183"/>
      <c r="Q5" s="184"/>
    </row>
    <row r="6" spans="2:17" ht="14">
      <c r="B6" s="48" t="s">
        <v>426</v>
      </c>
      <c r="C6" s="52"/>
      <c r="D6" s="122" t="str">
        <f t="shared" ca="1" si="0"/>
        <v>date;placeholder=44734</v>
      </c>
      <c r="E6" s="42" t="s">
        <v>510</v>
      </c>
      <c r="F6" s="125">
        <f ca="1">TODAY()+30</f>
        <v>44734</v>
      </c>
      <c r="H6" s="49" t="s">
        <v>512</v>
      </c>
      <c r="I6" s="100" t="str">
        <f>TEXT(C6,"MM/DD/YY")</f>
        <v>01/00/YY</v>
      </c>
      <c r="J6" s="42" t="s">
        <v>509</v>
      </c>
      <c r="N6" s="185"/>
      <c r="O6" s="186"/>
      <c r="P6" s="186"/>
      <c r="Q6" s="187"/>
    </row>
    <row r="7" spans="2:17" s="34" customFormat="1">
      <c r="D7" s="123"/>
      <c r="H7" s="91"/>
      <c r="N7" s="185"/>
      <c r="O7" s="186"/>
      <c r="P7" s="186"/>
      <c r="Q7" s="187"/>
    </row>
    <row r="8" spans="2:17" ht="14">
      <c r="B8" s="48" t="s">
        <v>473</v>
      </c>
      <c r="C8" s="94"/>
      <c r="D8" s="122" t="str">
        <f>E8 &amp; ";placeholder=" &amp; F8</f>
        <v>dividerName=Payment;textarea;variable=inv_terms;placeholder=The invoice shall be payed within 30 days from the initial date.</v>
      </c>
      <c r="E8" s="42" t="s">
        <v>474</v>
      </c>
      <c r="F8" s="116" t="s">
        <v>500</v>
      </c>
      <c r="H8" s="91"/>
      <c r="N8" s="185"/>
      <c r="O8" s="186"/>
      <c r="P8" s="186"/>
      <c r="Q8" s="187"/>
    </row>
    <row r="9" spans="2:17" s="34" customFormat="1" ht="14">
      <c r="B9" s="48" t="s">
        <v>484</v>
      </c>
      <c r="C9" s="94"/>
      <c r="D9" s="122" t="str">
        <f t="shared" ref="D9:D17" si="1">E9 &amp; ";placeholder=" &amp; F9</f>
        <v>text;variable=inv_bank_holder;placeholder=Molnify AB</v>
      </c>
      <c r="E9" s="42" t="s">
        <v>485</v>
      </c>
      <c r="F9" s="116" t="s">
        <v>421</v>
      </c>
      <c r="H9" s="91"/>
      <c r="N9" s="185"/>
      <c r="O9" s="186"/>
      <c r="P9" s="186"/>
      <c r="Q9" s="187"/>
    </row>
    <row r="10" spans="2:17" s="67" customFormat="1" ht="14">
      <c r="B10" s="48" t="s">
        <v>427</v>
      </c>
      <c r="C10" s="53" t="str">
        <f>" "</f>
        <v xml:space="preserve"> </v>
      </c>
      <c r="D10" s="122" t="str">
        <f t="shared" si="1"/>
        <v>text;variable=inv_bank_account;placeholder=XXXX XXXX XXXX XX</v>
      </c>
      <c r="E10" s="42" t="s">
        <v>477</v>
      </c>
      <c r="F10" s="121" t="s">
        <v>552</v>
      </c>
      <c r="H10" s="91"/>
      <c r="N10" s="185"/>
      <c r="O10" s="186"/>
      <c r="P10" s="186"/>
      <c r="Q10" s="187"/>
    </row>
    <row r="11" spans="2:17" ht="14">
      <c r="B11" s="48" t="s">
        <v>475</v>
      </c>
      <c r="C11" s="94"/>
      <c r="D11" s="122" t="str">
        <f t="shared" si="1"/>
        <v>text;variable=inv_bank_name;placeholder=Name of Bank</v>
      </c>
      <c r="E11" s="42" t="s">
        <v>476</v>
      </c>
      <c r="F11" s="116" t="s">
        <v>498</v>
      </c>
      <c r="H11" s="91"/>
      <c r="N11" s="185"/>
      <c r="O11" s="186"/>
      <c r="P11" s="186"/>
      <c r="Q11" s="187"/>
    </row>
    <row r="12" spans="2:17" ht="14">
      <c r="B12" s="48" t="s">
        <v>480</v>
      </c>
      <c r="C12" s="94"/>
      <c r="D12" s="122" t="str">
        <f t="shared" si="1"/>
        <v>text;variable=inv_bank_sort_code;placeholder=XX-XX-XX</v>
      </c>
      <c r="E12" s="42" t="s">
        <v>479</v>
      </c>
      <c r="F12" s="116" t="s">
        <v>496</v>
      </c>
      <c r="H12" s="91"/>
      <c r="N12" s="185"/>
      <c r="O12" s="186"/>
      <c r="P12" s="186"/>
      <c r="Q12" s="187"/>
    </row>
    <row r="13" spans="2:17" ht="14">
      <c r="B13" s="48" t="s">
        <v>478</v>
      </c>
      <c r="C13" s="94"/>
      <c r="D13" s="122" t="str">
        <f t="shared" si="1"/>
        <v>text;variable=inv_bank_iban;placeholder=AA00 BBCC XXXX XXXX XXXX XX</v>
      </c>
      <c r="E13" s="42" t="s">
        <v>482</v>
      </c>
      <c r="F13" s="116" t="str">
        <f>"AA00 BBCC " &amp; F10</f>
        <v>AA00 BBCC XXXX XXXX XXXX XX</v>
      </c>
      <c r="H13" s="91"/>
      <c r="N13" s="185"/>
      <c r="O13" s="186"/>
      <c r="P13" s="186"/>
      <c r="Q13" s="187"/>
    </row>
    <row r="14" spans="2:17" ht="14">
      <c r="B14" s="48" t="s">
        <v>481</v>
      </c>
      <c r="C14" s="94"/>
      <c r="D14" s="122" t="str">
        <f t="shared" si="1"/>
        <v>text;vaiable=inv_bank_swift_bic;placeholder=AABBCCDD</v>
      </c>
      <c r="E14" s="42" t="s">
        <v>483</v>
      </c>
      <c r="F14" s="116" t="s">
        <v>497</v>
      </c>
      <c r="H14" s="91"/>
      <c r="N14" s="185"/>
      <c r="O14" s="186"/>
      <c r="P14" s="186"/>
      <c r="Q14" s="187"/>
    </row>
    <row r="15" spans="2:17">
      <c r="H15" s="91"/>
      <c r="N15" s="185"/>
      <c r="O15" s="186"/>
      <c r="P15" s="186"/>
      <c r="Q15" s="187"/>
    </row>
    <row r="16" spans="2:17" ht="14">
      <c r="B16" s="48" t="s">
        <v>489</v>
      </c>
      <c r="C16" s="94"/>
      <c r="D16" s="122" t="str">
        <f t="shared" si="1"/>
        <v>dividerName=Items;text;variable=inv_preface_title;placeholder=General Notes</v>
      </c>
      <c r="E16" s="42" t="s">
        <v>503</v>
      </c>
      <c r="F16" s="116" t="s">
        <v>499</v>
      </c>
      <c r="H16" s="91"/>
      <c r="N16" s="185"/>
      <c r="O16" s="186"/>
      <c r="P16" s="186"/>
      <c r="Q16" s="187"/>
    </row>
    <row r="17" spans="2:17" ht="14">
      <c r="B17" s="48" t="s">
        <v>490</v>
      </c>
      <c r="C17" s="94"/>
      <c r="D17" s="122" t="str">
        <f t="shared" si="1"/>
        <v>textarea;variable=inv_preface_content;placeholder=Add a short decription or other information above the list of order items</v>
      </c>
      <c r="E17" s="42" t="s">
        <v>491</v>
      </c>
      <c r="F17" s="116" t="s">
        <v>553</v>
      </c>
      <c r="H17" s="91"/>
      <c r="N17" s="185"/>
      <c r="O17" s="186"/>
      <c r="P17" s="186"/>
      <c r="Q17" s="187"/>
    </row>
    <row r="18" spans="2:17" ht="15" thickBot="1">
      <c r="B18" s="48" t="s">
        <v>504</v>
      </c>
      <c r="C18" s="97" t="b">
        <v>1</v>
      </c>
      <c r="H18" s="48" t="s">
        <v>504</v>
      </c>
      <c r="I18" s="100" t="str">
        <f>IF(show_thumbs,"true","")</f>
        <v>true</v>
      </c>
      <c r="J18" s="42" t="s">
        <v>554</v>
      </c>
      <c r="N18" s="188"/>
      <c r="O18" s="189"/>
      <c r="P18" s="189"/>
      <c r="Q18" s="190"/>
    </row>
    <row r="19" spans="2:17" ht="14">
      <c r="B19" s="48" t="s">
        <v>505</v>
      </c>
      <c r="C19" s="97" t="b">
        <v>1</v>
      </c>
      <c r="H19" s="48" t="s">
        <v>505</v>
      </c>
      <c r="I19" s="100" t="str">
        <f>IF(show_ids,"true","")</f>
        <v>true</v>
      </c>
      <c r="J19" s="42" t="s">
        <v>555</v>
      </c>
    </row>
    <row r="20" spans="2:17">
      <c r="H20" s="91"/>
    </row>
    <row r="21" spans="2:17">
      <c r="H21" s="91"/>
    </row>
  </sheetData>
  <mergeCells count="1">
    <mergeCell ref="N5:Q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2:P37"/>
  <sheetViews>
    <sheetView workbookViewId="0">
      <selection activeCell="I25" sqref="I25"/>
    </sheetView>
  </sheetViews>
  <sheetFormatPr baseColWidth="10" defaultColWidth="12.6640625" defaultRowHeight="15.75" customHeight="1"/>
  <sheetData>
    <row r="2" spans="1:16" ht="15.75" customHeight="1">
      <c r="B2" s="10" t="s">
        <v>38</v>
      </c>
      <c r="C2" s="11">
        <f>contact!C3</f>
        <v>0</v>
      </c>
      <c r="D2" s="10" t="s">
        <v>39</v>
      </c>
      <c r="E2" s="12"/>
      <c r="F2" s="13"/>
      <c r="G2" s="13"/>
      <c r="H2" s="12"/>
      <c r="I2" s="12"/>
      <c r="J2" s="12"/>
    </row>
    <row r="3" spans="1:16" ht="15.75" customHeight="1">
      <c r="B3" s="10" t="s">
        <v>40</v>
      </c>
      <c r="C3" s="38">
        <f ca="1">TODAY()</f>
        <v>44704</v>
      </c>
      <c r="D3" s="10" t="s">
        <v>39</v>
      </c>
      <c r="E3" s="12"/>
      <c r="F3" s="12"/>
      <c r="G3" s="12"/>
      <c r="H3" s="12"/>
      <c r="I3" s="12"/>
      <c r="J3" s="12"/>
    </row>
    <row r="4" spans="1:16" ht="15.75" customHeight="1" thickBot="1">
      <c r="B4" s="12"/>
      <c r="C4" s="12"/>
      <c r="D4" s="12"/>
      <c r="E4" s="12"/>
      <c r="F4" s="12"/>
      <c r="G4" s="12"/>
      <c r="H4" s="12"/>
      <c r="I4" s="12"/>
      <c r="J4" s="12"/>
    </row>
    <row r="5" spans="1:16" ht="15.75" customHeight="1">
      <c r="B5" s="10" t="s">
        <v>41</v>
      </c>
      <c r="C5" s="39"/>
      <c r="D5" s="191" t="s">
        <v>42</v>
      </c>
      <c r="E5" s="180"/>
      <c r="F5" s="180"/>
      <c r="G5" s="180"/>
      <c r="H5" s="12"/>
      <c r="I5" s="12"/>
      <c r="J5" s="12"/>
      <c r="L5" s="182" t="s">
        <v>570</v>
      </c>
      <c r="M5" s="183"/>
      <c r="N5" s="183"/>
      <c r="O5" s="183"/>
      <c r="P5" s="184"/>
    </row>
    <row r="6" spans="1:16" ht="15.75" customHeight="1">
      <c r="B6" s="12"/>
      <c r="C6" s="12"/>
      <c r="D6" s="12"/>
      <c r="E6" s="12"/>
      <c r="F6" s="12"/>
      <c r="G6" s="12"/>
      <c r="H6" s="12"/>
      <c r="I6" s="12"/>
      <c r="J6" s="12"/>
      <c r="L6" s="185"/>
      <c r="M6" s="186"/>
      <c r="N6" s="186"/>
      <c r="O6" s="186"/>
      <c r="P6" s="187"/>
    </row>
    <row r="7" spans="1:16" ht="15.75" customHeight="1">
      <c r="B7" s="12"/>
      <c r="C7" s="39"/>
      <c r="D7" s="10" t="s">
        <v>43</v>
      </c>
      <c r="E7" s="12"/>
      <c r="F7" s="12"/>
      <c r="G7" s="12"/>
      <c r="H7" s="12"/>
      <c r="I7" s="12"/>
      <c r="J7" s="12"/>
      <c r="L7" s="185"/>
      <c r="M7" s="186"/>
      <c r="N7" s="186"/>
      <c r="O7" s="186"/>
      <c r="P7" s="187"/>
    </row>
    <row r="8" spans="1:16" ht="15.75" customHeight="1">
      <c r="B8" s="12"/>
      <c r="C8" s="12"/>
      <c r="D8" s="12"/>
      <c r="E8" s="12"/>
      <c r="F8" s="12"/>
      <c r="G8" s="12"/>
      <c r="H8" s="12"/>
      <c r="I8" s="12"/>
      <c r="J8" s="12"/>
      <c r="L8" s="185"/>
      <c r="M8" s="186"/>
      <c r="N8" s="186"/>
      <c r="O8" s="186"/>
      <c r="P8" s="187"/>
    </row>
    <row r="9" spans="1:16" ht="15.75" customHeight="1">
      <c r="A9">
        <v>0</v>
      </c>
      <c r="B9" s="10" t="s">
        <v>44</v>
      </c>
      <c r="C9" s="14" t="s">
        <v>45</v>
      </c>
      <c r="D9" s="12">
        <v>1</v>
      </c>
      <c r="E9" s="10" t="s">
        <v>44</v>
      </c>
      <c r="F9" s="14" t="s">
        <v>46</v>
      </c>
      <c r="G9" s="12">
        <v>2</v>
      </c>
      <c r="H9" s="2" t="s">
        <v>44</v>
      </c>
      <c r="I9" s="15" t="s">
        <v>47</v>
      </c>
      <c r="J9" s="12"/>
      <c r="L9" s="185"/>
      <c r="M9" s="186"/>
      <c r="N9" s="186"/>
      <c r="O9" s="186"/>
      <c r="P9" s="187"/>
    </row>
    <row r="10" spans="1:16" ht="15.75" customHeight="1">
      <c r="B10" s="10" t="s">
        <v>48</v>
      </c>
      <c r="C10" s="14" t="s">
        <v>49</v>
      </c>
      <c r="D10" s="12"/>
      <c r="E10" s="10" t="s">
        <v>50</v>
      </c>
      <c r="F10" s="16">
        <f>C2</f>
        <v>0</v>
      </c>
      <c r="G10" s="12"/>
      <c r="H10" s="2" t="s">
        <v>51</v>
      </c>
      <c r="I10" s="17"/>
      <c r="J10" s="12"/>
      <c r="L10" s="185"/>
      <c r="M10" s="186"/>
      <c r="N10" s="186"/>
      <c r="O10" s="186"/>
      <c r="P10" s="187"/>
    </row>
    <row r="11" spans="1:16" ht="15.75" customHeight="1">
      <c r="B11" s="10" t="s">
        <v>52</v>
      </c>
      <c r="C11" s="14" t="s">
        <v>53</v>
      </c>
      <c r="D11" s="12"/>
      <c r="E11" s="10" t="s">
        <v>54</v>
      </c>
      <c r="F11" s="18" t="str">
        <f ca="1">C2&amp;" "&amp;IF(C3&gt;2000-1-1,YEAR(C3)&amp;"-"&amp;TEXT(MONTH(C3),"00")&amp;"-"&amp;TEXT(DAY(C3),"00"),"N/A")</f>
        <v>0 2022-05-23</v>
      </c>
      <c r="G11" s="12"/>
      <c r="H11" s="2" t="s">
        <v>55</v>
      </c>
      <c r="I11" s="15" t="s">
        <v>56</v>
      </c>
      <c r="J11" s="12"/>
      <c r="L11" s="185"/>
      <c r="M11" s="186"/>
      <c r="N11" s="186"/>
      <c r="O11" s="186"/>
      <c r="P11" s="187"/>
    </row>
    <row r="12" spans="1:16" ht="15.75" customHeight="1" thickBot="1">
      <c r="B12" s="19">
        <v>1</v>
      </c>
      <c r="C12" s="14" t="s">
        <v>47</v>
      </c>
      <c r="D12" s="12"/>
      <c r="E12" s="10" t="s">
        <v>57</v>
      </c>
      <c r="F12" s="20" t="b">
        <v>0</v>
      </c>
      <c r="G12" s="12"/>
      <c r="H12" s="2" t="s">
        <v>58</v>
      </c>
      <c r="I12" s="15" t="s">
        <v>59</v>
      </c>
      <c r="J12" s="12"/>
      <c r="L12" s="188"/>
      <c r="M12" s="189"/>
      <c r="N12" s="189"/>
      <c r="O12" s="189"/>
      <c r="P12" s="190"/>
    </row>
    <row r="13" spans="1:16" ht="15.75" customHeight="1">
      <c r="B13" s="19">
        <v>2</v>
      </c>
      <c r="C13" s="14" t="s">
        <v>60</v>
      </c>
      <c r="D13" s="12"/>
      <c r="E13" s="10" t="s">
        <v>39</v>
      </c>
      <c r="F13" s="20" t="b">
        <v>1</v>
      </c>
      <c r="G13" s="12"/>
      <c r="H13" s="2" t="s">
        <v>61</v>
      </c>
      <c r="I13" s="15" t="str">
        <f ca="1">contact!C5&amp;" just saved an order for "&amp;contact!C3&amp;".&lt;br&gt;&lt;br&gt;The name of the saved order is "&amp;F11</f>
        <v xml:space="preserve"> just saved an order for .&lt;br&gt;&lt;br&gt;The name of the saved order is 0 2022-05-23</v>
      </c>
      <c r="J13" s="12"/>
    </row>
    <row r="14" spans="1:16" ht="15.75" customHeight="1">
      <c r="B14" s="10" t="s">
        <v>62</v>
      </c>
      <c r="C14" s="14" t="s">
        <v>63</v>
      </c>
      <c r="D14" s="12"/>
      <c r="E14" s="10" t="s">
        <v>64</v>
      </c>
      <c r="F14" s="14" t="s">
        <v>60</v>
      </c>
      <c r="G14" s="12"/>
      <c r="H14" s="2" t="s">
        <v>64</v>
      </c>
      <c r="I14" s="15" t="s">
        <v>47</v>
      </c>
      <c r="J14" s="12"/>
    </row>
    <row r="15" spans="1:16" ht="15.75" customHeight="1">
      <c r="B15" s="10" t="s">
        <v>65</v>
      </c>
      <c r="C15" s="20" t="b">
        <v>0</v>
      </c>
      <c r="D15" s="12"/>
      <c r="E15" s="10" t="s">
        <v>66</v>
      </c>
      <c r="F15" s="21"/>
      <c r="G15" s="12"/>
      <c r="H15" s="22" t="s">
        <v>39</v>
      </c>
      <c r="I15" s="23" t="b">
        <v>1</v>
      </c>
      <c r="J15" s="12"/>
    </row>
    <row r="16" spans="1:16" ht="15.75" customHeight="1">
      <c r="B16" s="12"/>
      <c r="C16" s="12"/>
      <c r="D16" s="12"/>
      <c r="E16" s="12"/>
      <c r="F16" s="12"/>
      <c r="G16" s="12"/>
      <c r="H16" s="12"/>
      <c r="I16" s="12"/>
      <c r="J16" s="12"/>
    </row>
    <row r="17" spans="1:10" ht="15.75" customHeight="1">
      <c r="B17" s="12"/>
      <c r="C17" s="12"/>
      <c r="D17" s="12"/>
      <c r="E17" s="12"/>
      <c r="F17" s="12"/>
      <c r="G17" s="12"/>
      <c r="H17" s="12"/>
      <c r="I17" s="12"/>
      <c r="J17" s="12"/>
    </row>
    <row r="18" spans="1:10" ht="15.75" customHeight="1">
      <c r="B18" s="12"/>
      <c r="C18" s="12"/>
      <c r="D18" s="12"/>
      <c r="E18" s="12"/>
      <c r="F18" s="12"/>
      <c r="G18" s="12"/>
      <c r="H18" s="12"/>
      <c r="I18" s="12"/>
      <c r="J18" s="12"/>
    </row>
    <row r="19" spans="1:10" ht="15.75" customHeight="1">
      <c r="A19">
        <v>3</v>
      </c>
      <c r="B19" s="10" t="s">
        <v>44</v>
      </c>
      <c r="C19" s="14" t="s">
        <v>45</v>
      </c>
      <c r="D19" s="12">
        <v>4</v>
      </c>
      <c r="E19" s="10" t="s">
        <v>44</v>
      </c>
      <c r="F19" s="14" t="s">
        <v>46</v>
      </c>
      <c r="G19" s="12">
        <v>5</v>
      </c>
      <c r="H19" s="62" t="s">
        <v>58</v>
      </c>
      <c r="I19" s="159" t="s">
        <v>546</v>
      </c>
      <c r="J19" s="12"/>
    </row>
    <row r="20" spans="1:10" ht="15.75" customHeight="1">
      <c r="B20" s="10" t="s">
        <v>48</v>
      </c>
      <c r="C20" s="14" t="s">
        <v>67</v>
      </c>
      <c r="D20" s="12"/>
      <c r="E20" s="10" t="s">
        <v>50</v>
      </c>
      <c r="F20" s="16">
        <f>C5</f>
        <v>0</v>
      </c>
      <c r="G20" s="12"/>
      <c r="H20" s="62" t="s">
        <v>44</v>
      </c>
      <c r="I20" s="159" t="s">
        <v>443</v>
      </c>
      <c r="J20" s="12"/>
    </row>
    <row r="21" spans="1:10" ht="15.75" customHeight="1">
      <c r="B21" s="10" t="s">
        <v>52</v>
      </c>
      <c r="C21" s="14" t="s">
        <v>68</v>
      </c>
      <c r="D21" s="12"/>
      <c r="E21" s="10" t="s">
        <v>54</v>
      </c>
      <c r="F21" s="18" t="str">
        <f ca="1">C2&amp;" "&amp;IF(C3&gt;2000-1-1,YEAR(C3)&amp;"-"&amp;TEXT(MONTH(C3),"00")&amp;"-"&amp;TEXT(DAY(C3),"00"),"N/A")</f>
        <v>0 2022-05-23</v>
      </c>
      <c r="G21" s="12"/>
      <c r="H21" s="62" t="s">
        <v>444</v>
      </c>
      <c r="I21" s="159" t="s">
        <v>547</v>
      </c>
      <c r="J21" s="12"/>
    </row>
    <row r="22" spans="1:10" ht="15.75" customHeight="1">
      <c r="B22" s="19">
        <v>1</v>
      </c>
      <c r="C22" s="14" t="s">
        <v>47</v>
      </c>
      <c r="D22" s="12"/>
      <c r="E22" s="10" t="s">
        <v>57</v>
      </c>
      <c r="F22" s="20" t="b">
        <v>0</v>
      </c>
      <c r="G22" s="12"/>
      <c r="H22" s="62" t="s">
        <v>445</v>
      </c>
      <c r="I22" s="159" t="s">
        <v>586</v>
      </c>
      <c r="J22" s="12"/>
    </row>
    <row r="23" spans="1:10" ht="15.75" customHeight="1">
      <c r="B23" s="19">
        <v>2</v>
      </c>
      <c r="C23" s="14" t="s">
        <v>69</v>
      </c>
      <c r="D23" s="12"/>
      <c r="E23" s="10" t="s">
        <v>39</v>
      </c>
      <c r="F23" s="20" t="b">
        <v>1</v>
      </c>
      <c r="G23" s="12"/>
      <c r="H23" s="62" t="s">
        <v>446</v>
      </c>
      <c r="I23" s="160" t="b">
        <v>0</v>
      </c>
      <c r="J23" s="12"/>
    </row>
    <row r="24" spans="1:10" ht="15.75" customHeight="1">
      <c r="B24" s="10" t="s">
        <v>62</v>
      </c>
      <c r="C24" s="14" t="s">
        <v>63</v>
      </c>
      <c r="D24" s="12"/>
      <c r="E24" s="10" t="s">
        <v>64</v>
      </c>
      <c r="F24" s="14" t="s">
        <v>69</v>
      </c>
      <c r="G24" s="12"/>
      <c r="H24" s="65" t="s">
        <v>48</v>
      </c>
      <c r="I24" s="160" t="s">
        <v>595</v>
      </c>
      <c r="J24" s="12"/>
    </row>
    <row r="25" spans="1:10" ht="15.75" customHeight="1">
      <c r="B25" s="10" t="s">
        <v>65</v>
      </c>
      <c r="C25" s="20" t="b">
        <v>1</v>
      </c>
      <c r="D25" s="12"/>
      <c r="E25" s="10" t="s">
        <v>66</v>
      </c>
      <c r="F25" s="21"/>
      <c r="G25" s="12"/>
      <c r="H25" s="143" t="s">
        <v>51</v>
      </c>
      <c r="I25" s="193" t="s">
        <v>596</v>
      </c>
      <c r="J25" s="12"/>
    </row>
    <row r="26" spans="1:10" ht="15.75" customHeight="1">
      <c r="B26" s="12"/>
      <c r="C26" s="12"/>
      <c r="D26" s="12"/>
      <c r="E26" s="12"/>
      <c r="F26" s="12"/>
      <c r="G26" s="12"/>
      <c r="H26" s="143" t="s">
        <v>584</v>
      </c>
      <c r="I26" s="145" t="s">
        <v>597</v>
      </c>
      <c r="J26" s="12"/>
    </row>
    <row r="27" spans="1:10" ht="15.75" customHeight="1">
      <c r="B27" s="12"/>
      <c r="C27" s="12"/>
      <c r="D27" s="12"/>
      <c r="E27" s="12"/>
      <c r="F27" s="12"/>
      <c r="G27" s="12"/>
      <c r="H27" s="12"/>
      <c r="I27" s="12"/>
      <c r="J27" s="12"/>
    </row>
    <row r="28" spans="1:10" ht="15.75" customHeight="1">
      <c r="B28" s="10" t="s">
        <v>70</v>
      </c>
      <c r="C28" s="24" t="b">
        <f>IF(C5="",FALSE,TRUE)</f>
        <v>0</v>
      </c>
      <c r="D28" s="10" t="s">
        <v>39</v>
      </c>
      <c r="E28" s="12"/>
      <c r="F28" s="12"/>
      <c r="G28" s="12"/>
      <c r="H28" s="12"/>
      <c r="I28" s="12"/>
      <c r="J28" s="12"/>
    </row>
    <row r="30" spans="1:10" ht="15.75" customHeight="1">
      <c r="A30">
        <v>6</v>
      </c>
      <c r="B30" s="149" t="s">
        <v>1</v>
      </c>
      <c r="C30" s="154" t="s">
        <v>588</v>
      </c>
    </row>
    <row r="31" spans="1:10" ht="15.75" customHeight="1">
      <c r="B31" s="62" t="s">
        <v>44</v>
      </c>
      <c r="C31" s="63" t="s">
        <v>443</v>
      </c>
    </row>
    <row r="32" spans="1:10" ht="15.75" customHeight="1">
      <c r="B32" s="62" t="s">
        <v>444</v>
      </c>
      <c r="C32" s="63" t="s">
        <v>547</v>
      </c>
    </row>
    <row r="33" spans="2:3" ht="15.75" customHeight="1">
      <c r="B33" s="62" t="s">
        <v>445</v>
      </c>
      <c r="C33" s="63" t="s">
        <v>586</v>
      </c>
    </row>
    <row r="34" spans="2:3" ht="15.75" customHeight="1">
      <c r="B34" s="62" t="s">
        <v>446</v>
      </c>
      <c r="C34" s="64" t="b">
        <v>1</v>
      </c>
    </row>
    <row r="35" spans="2:3" ht="15.75" customHeight="1">
      <c r="B35" s="143" t="s">
        <v>51</v>
      </c>
      <c r="C35" s="144" t="str">
        <f>IF(LEN(user_email),user_email &amp; ";","") &amp; "fredrik.jureen@molnify.com;mattias@molnify.com"</f>
        <v>fredrik.jureen@molnify.com;mattias@molnify.com</v>
      </c>
    </row>
    <row r="36" spans="2:3" ht="15.75" customHeight="1">
      <c r="B36" s="143" t="s">
        <v>584</v>
      </c>
      <c r="C36" s="145" t="str">
        <f>"Hello " &amp; user_email &amp; ",
Thank you for trying out our Sales Order App, here's the link to your PDF:
{{urlToReport}}
" &amp; "Please email info@molnify.com if you have any feedback or questions and we will get back to you shortly (This message was sent from an unmonitored address and cannot be responded to).
Kind regards,
// The Molnify Team"</f>
        <v>Hello ,
Thank you for trying out our Sales Order App, here's the link to your PDF:
{{urlToReport}}
Please email info@molnify.com if you have any feedback or questions and we will get back to you shortly (This message was sent from an unmonitored address and cannot be responded to).
Kind regards,
// The Molnify Team</v>
      </c>
    </row>
    <row r="37" spans="2:3" ht="15.75" customHeight="1">
      <c r="B37" s="143" t="s">
        <v>39</v>
      </c>
      <c r="C37" s="144" t="b">
        <v>1</v>
      </c>
    </row>
  </sheetData>
  <mergeCells count="2">
    <mergeCell ref="D5:G5"/>
    <mergeCell ref="L5:P12"/>
  </mergeCells>
  <hyperlinks>
    <hyperlink ref="I25" r:id="rId1" xr:uid="{7654CBFF-126E-A648-923C-04E80F218E7F}"/>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C1:BY47"/>
  <sheetViews>
    <sheetView topLeftCell="BF1" workbookViewId="0">
      <selection activeCell="EC8" sqref="EC8"/>
    </sheetView>
  </sheetViews>
  <sheetFormatPr baseColWidth="10" defaultColWidth="12.6640625" defaultRowHeight="15.75" customHeight="1"/>
  <cols>
    <col min="3" max="3" width="12.6640625" style="91"/>
    <col min="6" max="6" width="16.1640625" style="34" customWidth="1"/>
    <col min="8" max="8" width="16.1640625" style="90" customWidth="1"/>
    <col min="9" max="9" width="16.1640625" style="67" customWidth="1"/>
    <col min="10" max="10" width="17.5" customWidth="1"/>
    <col min="11" max="11" width="12.6640625" style="91"/>
    <col min="15" max="15" width="12.6640625" style="91"/>
    <col min="16" max="17" width="12.6640625" style="67"/>
    <col min="18" max="19" width="12.6640625" style="90"/>
    <col min="21" max="21" width="11" customWidth="1"/>
    <col min="26" max="26" width="12.6640625" style="34"/>
    <col min="36" max="36" width="14.6640625" style="34" customWidth="1"/>
    <col min="37" max="37" width="12.33203125" customWidth="1"/>
    <col min="38" max="38" width="18.1640625" style="34" customWidth="1"/>
    <col min="39" max="39" width="26" customWidth="1"/>
    <col min="40" max="40" width="30.6640625" style="34" customWidth="1"/>
    <col min="41" max="41" width="15.33203125" customWidth="1"/>
    <col min="42" max="42" width="18.5" customWidth="1"/>
    <col min="43" max="43" width="12.6640625" style="34"/>
    <col min="44" max="44" width="12.6640625" style="90"/>
    <col min="45" max="45" width="14.6640625" style="90" customWidth="1"/>
    <col min="46" max="46" width="14.33203125" style="34" customWidth="1"/>
    <col min="47" max="47" width="8.83203125" style="101" customWidth="1"/>
    <col min="48" max="48" width="18.5" style="34" customWidth="1"/>
    <col min="50" max="50" width="10.33203125" style="34" customWidth="1"/>
    <col min="51" max="51" width="17.33203125" style="34" customWidth="1"/>
    <col min="55" max="56" width="12.6640625" style="90"/>
    <col min="57" max="57" width="62" style="90" customWidth="1"/>
    <col min="58" max="58" width="12.6640625" style="90"/>
    <col min="59" max="59" width="23.5" customWidth="1"/>
    <col min="60" max="60" width="9.83203125" customWidth="1"/>
    <col min="65" max="65" width="16.1640625" customWidth="1"/>
    <col min="66" max="66" width="12.83203125" customWidth="1"/>
    <col min="67" max="67" width="14.1640625" style="34" customWidth="1"/>
    <col min="68" max="68" width="18.5" style="34" customWidth="1"/>
    <col min="69" max="69" width="20.83203125" style="34" customWidth="1"/>
    <col min="70" max="70" width="17.6640625" customWidth="1"/>
    <col min="71" max="71" width="19" style="34" customWidth="1"/>
    <col min="72" max="72" width="9.5" style="34" customWidth="1"/>
    <col min="73" max="73" width="7.5" style="34" customWidth="1"/>
    <col min="74" max="74" width="7.33203125" customWidth="1"/>
    <col min="75" max="75" width="15.6640625" customWidth="1"/>
  </cols>
  <sheetData>
    <row r="1" spans="3:77" ht="15.75" customHeight="1">
      <c r="AK1" s="25"/>
      <c r="AM1" s="25"/>
      <c r="AN1" s="25"/>
      <c r="AO1" s="25"/>
    </row>
    <row r="2" spans="3:77" ht="15.75" customHeight="1">
      <c r="AK2" s="25"/>
      <c r="AM2" s="25"/>
      <c r="AN2" s="25"/>
      <c r="AO2" s="25"/>
      <c r="BO2" s="1"/>
      <c r="BP2" s="1"/>
    </row>
    <row r="3" spans="3:77" ht="15.75" customHeight="1">
      <c r="AK3" s="25"/>
      <c r="AM3" s="25"/>
      <c r="AN3" s="25"/>
      <c r="AO3" s="25"/>
      <c r="BO3" s="1"/>
      <c r="BP3" s="1"/>
    </row>
    <row r="4" spans="3:77" ht="15.75" customHeight="1">
      <c r="F4" s="68" t="s">
        <v>515</v>
      </c>
      <c r="G4" s="25" t="s">
        <v>72</v>
      </c>
      <c r="H4" s="68" t="s">
        <v>1</v>
      </c>
      <c r="I4" s="68" t="s">
        <v>502</v>
      </c>
      <c r="J4" s="44" t="s">
        <v>494</v>
      </c>
      <c r="L4" s="25"/>
      <c r="N4" s="25" t="s">
        <v>73</v>
      </c>
      <c r="O4" s="92"/>
      <c r="P4" s="25"/>
      <c r="Q4" s="25"/>
      <c r="R4" s="76" t="s">
        <v>526</v>
      </c>
      <c r="S4" s="76" t="s">
        <v>523</v>
      </c>
      <c r="Z4" s="68" t="s">
        <v>514</v>
      </c>
      <c r="AJ4" s="68" t="s">
        <v>516</v>
      </c>
      <c r="AK4" s="25" t="s">
        <v>513</v>
      </c>
      <c r="AL4" s="68" t="s">
        <v>517</v>
      </c>
      <c r="AM4" s="68" t="s">
        <v>520</v>
      </c>
      <c r="AN4" s="68" t="s">
        <v>521</v>
      </c>
      <c r="AO4" s="68" t="s">
        <v>518</v>
      </c>
      <c r="AP4" s="68" t="s">
        <v>519</v>
      </c>
      <c r="AQ4" s="76" t="s">
        <v>456</v>
      </c>
      <c r="AR4" s="76" t="s">
        <v>71</v>
      </c>
      <c r="AS4" s="76" t="s">
        <v>528</v>
      </c>
      <c r="AW4" s="25" t="s">
        <v>74</v>
      </c>
      <c r="AX4" s="76" t="s">
        <v>464</v>
      </c>
      <c r="AY4" s="76" t="s">
        <v>522</v>
      </c>
      <c r="BO4" s="26"/>
      <c r="BP4"/>
    </row>
    <row r="5" spans="3:77" ht="15.75" customHeight="1">
      <c r="F5" s="44" t="s">
        <v>75</v>
      </c>
      <c r="G5" s="25" t="s">
        <v>75</v>
      </c>
      <c r="H5" s="44" t="s">
        <v>75</v>
      </c>
      <c r="I5" s="44" t="s">
        <v>75</v>
      </c>
      <c r="J5" s="44" t="s">
        <v>75</v>
      </c>
      <c r="N5" s="25" t="s">
        <v>75</v>
      </c>
      <c r="O5" s="92"/>
      <c r="P5" s="25"/>
      <c r="Q5" s="25"/>
      <c r="R5" s="76" t="s">
        <v>75</v>
      </c>
      <c r="S5" s="76" t="s">
        <v>75</v>
      </c>
      <c r="Z5" s="44" t="s">
        <v>75</v>
      </c>
      <c r="AJ5" s="44" t="s">
        <v>75</v>
      </c>
      <c r="AK5" s="25" t="s">
        <v>75</v>
      </c>
      <c r="AL5" s="44" t="s">
        <v>75</v>
      </c>
      <c r="AM5" s="25" t="s">
        <v>75</v>
      </c>
      <c r="AN5" s="25" t="s">
        <v>75</v>
      </c>
      <c r="AO5" s="25" t="s">
        <v>75</v>
      </c>
      <c r="AP5" s="44" t="s">
        <v>75</v>
      </c>
      <c r="AQ5" s="76" t="s">
        <v>455</v>
      </c>
      <c r="AR5" s="76" t="s">
        <v>75</v>
      </c>
      <c r="AS5" s="76" t="s">
        <v>75</v>
      </c>
      <c r="AW5" s="25" t="s">
        <v>75</v>
      </c>
      <c r="AX5" s="25" t="s">
        <v>75</v>
      </c>
      <c r="AY5" s="76" t="s">
        <v>75</v>
      </c>
      <c r="BH5" s="44" t="s">
        <v>527</v>
      </c>
    </row>
    <row r="6" spans="3:77" ht="15.75" customHeight="1">
      <c r="F6" s="43"/>
      <c r="H6" s="43"/>
      <c r="I6" s="43"/>
      <c r="BF6" s="44" t="s">
        <v>556</v>
      </c>
      <c r="BG6" s="76" t="s">
        <v>559</v>
      </c>
      <c r="BH6" s="1" t="s">
        <v>76</v>
      </c>
      <c r="BI6" s="1" t="s">
        <v>77</v>
      </c>
      <c r="BJ6" s="1" t="s">
        <v>72</v>
      </c>
      <c r="BK6" s="75" t="s">
        <v>452</v>
      </c>
      <c r="BL6" s="75" t="s">
        <v>454</v>
      </c>
      <c r="BM6" s="1" t="s">
        <v>73</v>
      </c>
      <c r="BN6" s="75" t="s">
        <v>492</v>
      </c>
      <c r="BO6" s="75" t="s">
        <v>451</v>
      </c>
      <c r="BP6" s="75" t="s">
        <v>453</v>
      </c>
      <c r="BQ6" s="75" t="s">
        <v>524</v>
      </c>
      <c r="BR6" s="75" t="s">
        <v>456</v>
      </c>
      <c r="BS6" s="1" t="s">
        <v>71</v>
      </c>
      <c r="BT6" s="75" t="s">
        <v>528</v>
      </c>
      <c r="BU6" s="75" t="s">
        <v>466</v>
      </c>
      <c r="BV6" s="75" t="s">
        <v>467</v>
      </c>
      <c r="BW6" s="75" t="s">
        <v>522</v>
      </c>
      <c r="BX6" s="1" t="s">
        <v>37</v>
      </c>
      <c r="BY6" s="43" t="s">
        <v>525</v>
      </c>
    </row>
    <row r="7" spans="3:77" ht="15.75" customHeight="1">
      <c r="C7" s="77" t="s">
        <v>79</v>
      </c>
      <c r="D7" s="89" t="s">
        <v>79</v>
      </c>
      <c r="E7" s="1" t="s">
        <v>80</v>
      </c>
      <c r="F7" s="105" t="b">
        <f t="shared" ref="F7:F16" si="0">IF(NOT(D7=pick_product),TRUE,FALSE)</f>
        <v>0</v>
      </c>
      <c r="G7" s="105" t="str">
        <f>IF(F7,IFERROR(VLOOKUP(D7,products!$B$3:$G$84,4,0),""),"")</f>
        <v/>
      </c>
      <c r="H7" s="105" t="str">
        <f t="shared" ref="H7:H16" si="1">IF(LEN(G7),D7,"")</f>
        <v/>
      </c>
      <c r="I7" s="105" t="str">
        <f>IF(AND(F7,show_thumbs),IFERROR(VLOOKUP(D7,products!$B$3:$H$84,7,0),""),"")</f>
        <v/>
      </c>
      <c r="J7" s="72" t="str">
        <f t="shared" ref="J7:J16" si="2">IF(F7,IF(Z7=2,"&lt;strike&gt;€ " &amp; G7 &amp; "&lt;/strike&gt;" &amp; " € " &amp; AL7 &amp; " x " &amp; N7, "€ " &amp; G7 &amp; " x " &amp; N7), "")</f>
        <v/>
      </c>
      <c r="K7" s="29" t="s">
        <v>73</v>
      </c>
      <c r="L7" s="40">
        <v>1</v>
      </c>
      <c r="M7" s="26" t="str">
        <f t="shared" ref="M7:M16" ca="1" si="3">"showifcell=molnify!"&amp;CELL("address",D7)&amp;";showifvaluenot=Pick product"</f>
        <v>showifcell=molnify!$D$7;showifvaluenot=Pick product</v>
      </c>
      <c r="N7" s="105" t="str">
        <f t="shared" ref="N7:N16" si="4">IF(LEN(G7)&gt;0,MAX(0,L7),"")</f>
        <v/>
      </c>
      <c r="O7" s="29" t="s">
        <v>492</v>
      </c>
      <c r="P7" s="40" t="s">
        <v>493</v>
      </c>
      <c r="Q7" s="26" t="str">
        <f t="shared" ref="Q7:Q16" ca="1" si="5">"showifcell=molnify!"&amp;CELL("address",D7)&amp;";showifvaluenot=Pick product"</f>
        <v>showifcell=molnify!$D$7;showifvaluenot=Pick product</v>
      </c>
      <c r="R7" s="105" t="str">
        <f t="shared" ref="R7:R16" si="6">IF(LEN(G7),P7,"")</f>
        <v/>
      </c>
      <c r="S7" s="72" t="str">
        <f t="shared" ref="S7:S16" si="7">IF(F7,L7 &amp; " " &amp; R7,"")</f>
        <v/>
      </c>
      <c r="T7" s="42" t="s">
        <v>451</v>
      </c>
      <c r="U7" s="27" t="str">
        <f>IF(F7,IF(Z7=3,J7 &amp; " = " &amp; "&lt;strike style=""font-size: larger;""&gt;€ " &amp; AK7 &amp; "&lt;/strike&gt;" &amp; " &lt;strong style=""font-size: larger;""&gt;€ " &amp; AN7 &amp; "&lt;/strong&gt;",J7 &amp; " = &lt;strong style=""font-size: larger""&gt;€ " &amp; AN7) &amp; "&lt;/span&gt;", "")</f>
        <v/>
      </c>
      <c r="V7" s="5" t="str">
        <f t="shared" ref="V7:V16" ca="1" si="8">"html;hidecopy;amonginputs;showifcell=molnify!"&amp;CELL("address",D7)&amp;";showifvaluenot=Pick product"</f>
        <v>html;hidecopy;amonginputs;showifcell=molnify!$D$7;showifvaluenot=Pick product</v>
      </c>
      <c r="W7" s="5" t="s">
        <v>81</v>
      </c>
      <c r="X7" s="40" t="s">
        <v>447</v>
      </c>
      <c r="Y7" s="26" t="str">
        <f t="shared" ref="Y7:Y16" ca="1" si="9">"select;showifcell=molnify!"&amp;CELL("address",D7)&amp;";showifvaluenot=Pick product"&amp;";resetWhenHidden"</f>
        <v>select;showifcell=molnify!$D$7;showifvaluenot=Pick product;resetWhenHidden</v>
      </c>
      <c r="Z7" s="105" t="str">
        <f t="shared" ref="Z7:Z16" si="10">IF(LEN(G7),MATCH(X7,discount_types,0),"")</f>
        <v/>
      </c>
      <c r="AA7" s="5" t="s">
        <v>82</v>
      </c>
      <c r="AB7" s="41">
        <v>0.1</v>
      </c>
      <c r="AC7" s="28" t="str">
        <f ca="1">"showifcell=molnify!"&amp;CELL("address",$X7)&amp;";showifvaluenot=Off"</f>
        <v>showifcell=molnify!$X$7;showifvaluenot=Off</v>
      </c>
      <c r="AD7" s="1" t="s">
        <v>83</v>
      </c>
      <c r="AE7" s="40">
        <v>0</v>
      </c>
      <c r="AF7" s="28" t="str">
        <f t="shared" ref="AF7:AF16" ca="1" si="11">"showifcell=molnify!"&amp;CELL("address",$X7)&amp;";showifvaluenot=Off"</f>
        <v>showifcell=molnify!$X$7;showifvaluenot=Off</v>
      </c>
      <c r="AG7" s="5" t="s">
        <v>84</v>
      </c>
      <c r="AH7" s="40">
        <v>0</v>
      </c>
      <c r="AI7" s="28" t="str">
        <f t="shared" ref="AI7:AI16" ca="1" si="12">"showifcell=molnify!"&amp;CELL("address",$X7)&amp;";showifvaluenot=Off"</f>
        <v>showifcell=molnify!$X$7;showifvaluenot=Off</v>
      </c>
      <c r="AJ7" s="105" t="str">
        <f t="shared" ref="AJ7:AJ16" si="13">IF(LEN(G7),IF(AH7&gt;0,3,IF(AE7&gt;0,2,1)),"")</f>
        <v/>
      </c>
      <c r="AK7" s="105" t="str">
        <f t="shared" ref="AK7:AK16" si="14">IF(LEN(G7),G7*N7,"")</f>
        <v/>
      </c>
      <c r="AL7" s="72" t="str">
        <f t="shared" ref="AL7:AL16" si="15">IF(LEN(G7),IF(OR(Z7=1,Z7=3),"",IF(AJ7=1,G7-(G7*AB7),IF(AJ7=2,G7-AE7,AH7))),"")</f>
        <v/>
      </c>
      <c r="AM7" s="72" t="str">
        <f t="shared" ref="AM7:AM16" si="16">IF(LEN(G7),IF(OR(Z7=1,Z7=3),AK7,AL7*N7),"")</f>
        <v/>
      </c>
      <c r="AN7" s="106" t="str">
        <f t="shared" ref="AN7:AN16" si="17">IF(LEN(G7),IF(Z7=3,IF(AJ7=1,AM7-(AM7*AB7),IF(AJ7=2,AM7-AE7,AH7)),AM7),"")</f>
        <v/>
      </c>
      <c r="AO7" s="73" t="str">
        <f t="shared" ref="AO7:AO16" si="18">IF(LEN(G7),IF(Z7=2,(G7-AL7)/G7,""),"")</f>
        <v/>
      </c>
      <c r="AP7" s="73" t="str">
        <f t="shared" ref="AP7:AP16" si="19">IF(LEN(G7),IF(Z7=3,(AK7-AN7)/AK7,""),"")</f>
        <v/>
      </c>
      <c r="AQ7" s="106" t="str">
        <f t="shared" ref="AQ7:AQ16" si="20">IF(LEN(AW7),AW7*N7,"")</f>
        <v/>
      </c>
      <c r="AR7" s="110" t="str">
        <f t="shared" ref="AR7:AR16" si="21">IF(LEN(G7),AN7-AQ7,"")</f>
        <v/>
      </c>
      <c r="AS7" s="110" t="str">
        <f t="shared" ref="AS7:AS16" si="22">IF(LEN(H7),AR7/AN7,"")</f>
        <v/>
      </c>
      <c r="AT7" s="84" t="s">
        <v>463</v>
      </c>
      <c r="AU7" s="102">
        <v>0.25</v>
      </c>
      <c r="AV7" s="26" t="str">
        <f t="shared" ref="AV7:AV16" ca="1" si="23">"showifcell=molnify!"&amp;CELL("address",D7)&amp;";showifvaluenot=Pick product"&amp;";resetWhenHidden"</f>
        <v>showifcell=molnify!$D$7;showifvaluenot=Pick product;resetWhenHidden</v>
      </c>
      <c r="AW7" s="74" t="str">
        <f>IF(G7="","",VLOOKUP(BH7,products!$B$3:$G$84,3,0))</f>
        <v/>
      </c>
      <c r="AX7" s="107" t="str">
        <f t="shared" ref="AX7:AX16" si="24">IF(AND(LEN(G7),AU7&gt;0),AN7*AU7,"")</f>
        <v/>
      </c>
      <c r="AY7" s="107" t="str">
        <f t="shared" ref="AY7:AY16" si="25">IF(LEN(G7),IFERROR(AN7+AX7,AN7),AN7)</f>
        <v/>
      </c>
      <c r="AZ7" s="77" t="s">
        <v>37</v>
      </c>
      <c r="BA7" s="35"/>
      <c r="BB7" s="1" t="str">
        <f t="shared" ref="BB7:BB16" ca="1" si="26">"textarea;showifcell=molnify!"&amp;CELL("address",D7)&amp;";showifvaluenot=Pick product"</f>
        <v>textarea;showifcell=molnify!$D$7;showifvaluenot=Pick product</v>
      </c>
      <c r="BC7" s="75" t="s">
        <v>470</v>
      </c>
      <c r="BD7" s="71" t="str">
        <f>IF($AN$18&gt;0,"€ " &amp; TEXT($AN$18,"## ###.00"),"--")</f>
        <v>--</v>
      </c>
      <c r="BE7" s="43" t="str">
        <f>"variable=gross_profit;leftColumn;background=" &amp; BF7 &amp; ";icon=" &amp; BG7</f>
        <v>variable=gross_profit;leftColumn;background=#404040;icon=fa-euro</v>
      </c>
      <c r="BF7" s="127" t="s">
        <v>558</v>
      </c>
      <c r="BG7" s="43" t="s">
        <v>562</v>
      </c>
      <c r="BH7" s="108" t="str">
        <f>H7</f>
        <v/>
      </c>
      <c r="BI7" s="108" t="str">
        <f t="shared" ref="BI7:BI16" si="27">IF(LEN(AW7),"€ "&amp;TEXT( AW7,"## ###.00"),"")</f>
        <v/>
      </c>
      <c r="BJ7" s="108" t="str">
        <f t="shared" ref="BJ7:BJ16" si="28">IF(LEN(G7), "€ " &amp; TEXT(G7,"## ###.00"), "")</f>
        <v/>
      </c>
      <c r="BK7" s="108" t="str">
        <f t="shared" ref="BK7:BK16" si="29">IF(LEN(AO7),ROUND(AO7,2)*100 &amp;"%","")</f>
        <v/>
      </c>
      <c r="BL7" s="108" t="str">
        <f t="shared" ref="BL7:BL16" si="30">IF(Z7=2,"€ " &amp; TEXT(ROUND(AL7,2),"## ###.00"),"")</f>
        <v/>
      </c>
      <c r="BM7" s="108" t="str">
        <f>N7</f>
        <v/>
      </c>
      <c r="BN7" s="108" t="str">
        <f>R7</f>
        <v/>
      </c>
      <c r="BO7" s="108" t="str">
        <f t="shared" ref="BO7:BO16" si="31">IF(LEN(AM7), "€ " &amp; TEXT(ROUND(AM7,2),"## ###.00"),"")</f>
        <v/>
      </c>
      <c r="BP7" s="109" t="str">
        <f t="shared" ref="BP7:BP16" si="32">IF(LEN(AP7),ROUND(AP7,2) * 100 &amp; "%","")</f>
        <v/>
      </c>
      <c r="BQ7" s="108" t="str">
        <f t="shared" ref="BQ7:BQ16" si="33">IF(LEN(AN7),"€ " &amp; TEXT(ROUND(AN7,2),"## ###.00"),"")</f>
        <v/>
      </c>
      <c r="BR7" s="108" t="str">
        <f t="shared" ref="BR7:BR16" si="34">IF(LEN(AQ7),"€ " &amp; TEXT(ROUND(AQ7,2),"## ###.00"),"")</f>
        <v/>
      </c>
      <c r="BS7" s="108" t="str">
        <f t="shared" ref="BS7:BS16" si="35">IF(LEN(AR7),"€ " &amp; TEXT(ROUND(AR7,2),"## ###.00"),"")</f>
        <v/>
      </c>
      <c r="BT7" s="108" t="str">
        <f t="shared" ref="BT7:BT16" si="36">IF(LEN(G7),ROUND((AN7-AQ7)/AN7,2) * 100 &amp; "%","")</f>
        <v/>
      </c>
      <c r="BU7" s="108" t="str">
        <f t="shared" ref="BU7:BU16" si="37">IF(AND(LEN($G7),AU7&gt;0),ROUND(AU7,2) * 100 &amp; "%","")</f>
        <v/>
      </c>
      <c r="BV7" s="108" t="str">
        <f t="shared" ref="BV7:BV16" si="38">IF(AND(LEN($G7),AX7&gt;0),"€ " &amp; TEXT(ROUND(AX7,2),"## ###.00"),"")</f>
        <v/>
      </c>
      <c r="BW7" s="108" t="str">
        <f t="shared" ref="BW7:BW16" si="39">IF(LEN($G7),"€ " &amp; TEXT(ROUND(AY7,2),"## ###.00"),"")</f>
        <v/>
      </c>
      <c r="BX7" s="108" t="str">
        <f t="shared" ref="BX7:BX16" si="40">IF(BA7="","",BA7)</f>
        <v/>
      </c>
      <c r="BY7" s="108" t="str">
        <f t="shared" ref="BY7:BY16" si="41">I7</f>
        <v/>
      </c>
    </row>
    <row r="8" spans="3:77" ht="15.75" customHeight="1">
      <c r="C8" s="77" t="s">
        <v>79</v>
      </c>
      <c r="D8" s="89" t="s">
        <v>79</v>
      </c>
      <c r="E8" s="26" t="str">
        <f t="shared" ref="E8:E16" ca="1" si="42">"showifcell=molnify!"&amp;CELL("address",D7)&amp;";showifvaluenot=Pick product;dividername="</f>
        <v>showifcell=molnify!$D$7;showifvaluenot=Pick product;dividername=</v>
      </c>
      <c r="F8" s="105" t="b">
        <f t="shared" si="0"/>
        <v>0</v>
      </c>
      <c r="G8" s="105" t="str">
        <f>IF(F8,IFERROR(VLOOKUP(D8,products!$B$3:$G$84,4,0),""),"")</f>
        <v/>
      </c>
      <c r="H8" s="105" t="str">
        <f t="shared" si="1"/>
        <v/>
      </c>
      <c r="I8" s="105" t="str">
        <f>IF(AND(F8,show_thumbs),IFERROR(VLOOKUP(D8,products!$B$3:$H$84,7,0),""),"")</f>
        <v/>
      </c>
      <c r="J8" s="72" t="str">
        <f t="shared" si="2"/>
        <v/>
      </c>
      <c r="K8" s="29" t="s">
        <v>73</v>
      </c>
      <c r="L8" s="40">
        <v>1</v>
      </c>
      <c r="M8" s="26" t="str">
        <f t="shared" ca="1" si="3"/>
        <v>showifcell=molnify!$D$8;showifvaluenot=Pick product</v>
      </c>
      <c r="N8" s="105" t="str">
        <f t="shared" si="4"/>
        <v/>
      </c>
      <c r="O8" s="29" t="s">
        <v>492</v>
      </c>
      <c r="P8" s="40" t="s">
        <v>493</v>
      </c>
      <c r="Q8" s="26" t="str">
        <f t="shared" ca="1" si="5"/>
        <v>showifcell=molnify!$D$8;showifvaluenot=Pick product</v>
      </c>
      <c r="R8" s="105" t="str">
        <f t="shared" si="6"/>
        <v/>
      </c>
      <c r="S8" s="72" t="str">
        <f t="shared" si="7"/>
        <v/>
      </c>
      <c r="T8" s="42" t="s">
        <v>451</v>
      </c>
      <c r="U8" s="27" t="str">
        <f t="shared" ref="U8:U16" si="43">IF(F8,IF(Z8=3,J8 &amp; " = " &amp; "&lt;strike style=""font-size: larger;""&gt;€ " &amp; AK8 &amp; "&lt;/strike&gt;" &amp; " &lt;strong style=""font-size: larger;""&gt;€ " &amp; AN8 &amp; "&lt;/strong&gt;",J8 &amp; " = &lt;strong style=""font-size: larger""&gt;€ " &amp; AN8) &amp; "&lt;/span&gt;", "")</f>
        <v/>
      </c>
      <c r="V8" s="5" t="str">
        <f t="shared" ca="1" si="8"/>
        <v>html;hidecopy;amonginputs;showifcell=molnify!$D$8;showifvaluenot=Pick product</v>
      </c>
      <c r="W8" s="5" t="s">
        <v>81</v>
      </c>
      <c r="X8" s="40" t="s">
        <v>447</v>
      </c>
      <c r="Y8" s="26" t="str">
        <f t="shared" ca="1" si="9"/>
        <v>select;showifcell=molnify!$D$8;showifvaluenot=Pick product;resetWhenHidden</v>
      </c>
      <c r="Z8" s="105" t="str">
        <f t="shared" si="10"/>
        <v/>
      </c>
      <c r="AA8" s="5" t="s">
        <v>82</v>
      </c>
      <c r="AB8" s="41">
        <v>0.1</v>
      </c>
      <c r="AC8" s="28" t="str">
        <f t="shared" ref="AC8:AC16" ca="1" si="44">"showifcell=molnify!"&amp;CELL("address",$X8)&amp;";showifvaluenot=Off"</f>
        <v>showifcell=molnify!$X$8;showifvaluenot=Off</v>
      </c>
      <c r="AD8" s="1" t="s">
        <v>83</v>
      </c>
      <c r="AE8" s="40">
        <v>0</v>
      </c>
      <c r="AF8" s="28" t="str">
        <f t="shared" ca="1" si="11"/>
        <v>showifcell=molnify!$X$8;showifvaluenot=Off</v>
      </c>
      <c r="AG8" s="5" t="s">
        <v>84</v>
      </c>
      <c r="AH8" s="40">
        <v>0</v>
      </c>
      <c r="AI8" s="28" t="str">
        <f t="shared" ca="1" si="12"/>
        <v>showifcell=molnify!$X$8;showifvaluenot=Off</v>
      </c>
      <c r="AJ8" s="105" t="str">
        <f t="shared" si="13"/>
        <v/>
      </c>
      <c r="AK8" s="105" t="str">
        <f t="shared" si="14"/>
        <v/>
      </c>
      <c r="AL8" s="72" t="str">
        <f t="shared" si="15"/>
        <v/>
      </c>
      <c r="AM8" s="72" t="str">
        <f t="shared" si="16"/>
        <v/>
      </c>
      <c r="AN8" s="106" t="str">
        <f t="shared" si="17"/>
        <v/>
      </c>
      <c r="AO8" s="73" t="str">
        <f t="shared" si="18"/>
        <v/>
      </c>
      <c r="AP8" s="73" t="str">
        <f t="shared" si="19"/>
        <v/>
      </c>
      <c r="AQ8" s="106" t="str">
        <f t="shared" si="20"/>
        <v/>
      </c>
      <c r="AR8" s="110" t="str">
        <f t="shared" si="21"/>
        <v/>
      </c>
      <c r="AS8" s="110" t="str">
        <f t="shared" si="22"/>
        <v/>
      </c>
      <c r="AT8" s="84" t="s">
        <v>463</v>
      </c>
      <c r="AU8" s="102">
        <v>0.25</v>
      </c>
      <c r="AV8" s="26" t="str">
        <f t="shared" ca="1" si="23"/>
        <v>showifcell=molnify!$D$8;showifvaluenot=Pick product;resetWhenHidden</v>
      </c>
      <c r="AW8" s="74" t="str">
        <f>IF(G8="","",VLOOKUP(BH8,products!$B$3:$G$84,3,0))</f>
        <v/>
      </c>
      <c r="AX8" s="107" t="str">
        <f t="shared" si="24"/>
        <v/>
      </c>
      <c r="AY8" s="107" t="str">
        <f t="shared" si="25"/>
        <v/>
      </c>
      <c r="AZ8" s="77" t="s">
        <v>37</v>
      </c>
      <c r="BA8" s="35"/>
      <c r="BB8" s="1" t="str">
        <f t="shared" ca="1" si="26"/>
        <v>textarea;showifcell=molnify!$D$8;showifvaluenot=Pick product</v>
      </c>
      <c r="BC8" s="1" t="s">
        <v>71</v>
      </c>
      <c r="BD8" s="71" t="str">
        <f>IFERROR(ROUND(($AR$19)/$AN$18,2) * 100 &amp; "%","--")</f>
        <v>--</v>
      </c>
      <c r="BE8" s="43" t="str">
        <f>"variable=margin;leftColumn;background=" &amp; BF8 &amp; ";icon=" &amp; BG8</f>
        <v>variable=margin;leftColumn;background=#404040;icon=fa-arrow-up</v>
      </c>
      <c r="BF8" s="127" t="s">
        <v>558</v>
      </c>
      <c r="BG8" s="43" t="s">
        <v>561</v>
      </c>
      <c r="BH8" s="108" t="str">
        <f t="shared" ref="BH8:BH16" si="45">H8</f>
        <v/>
      </c>
      <c r="BI8" s="108" t="str">
        <f t="shared" si="27"/>
        <v/>
      </c>
      <c r="BJ8" s="108" t="str">
        <f t="shared" si="28"/>
        <v/>
      </c>
      <c r="BK8" s="108" t="str">
        <f t="shared" si="29"/>
        <v/>
      </c>
      <c r="BL8" s="108" t="str">
        <f t="shared" si="30"/>
        <v/>
      </c>
      <c r="BM8" s="108" t="str">
        <f t="shared" ref="BM8:BM16" si="46">N8</f>
        <v/>
      </c>
      <c r="BN8" s="108" t="str">
        <f t="shared" ref="BN8:BN16" si="47">R8</f>
        <v/>
      </c>
      <c r="BO8" s="108" t="str">
        <f t="shared" si="31"/>
        <v/>
      </c>
      <c r="BP8" s="109" t="str">
        <f t="shared" si="32"/>
        <v/>
      </c>
      <c r="BQ8" s="108" t="str">
        <f t="shared" si="33"/>
        <v/>
      </c>
      <c r="BR8" s="108" t="str">
        <f t="shared" si="34"/>
        <v/>
      </c>
      <c r="BS8" s="108" t="str">
        <f t="shared" si="35"/>
        <v/>
      </c>
      <c r="BT8" s="108" t="str">
        <f t="shared" si="36"/>
        <v/>
      </c>
      <c r="BU8" s="108" t="str">
        <f t="shared" si="37"/>
        <v/>
      </c>
      <c r="BV8" s="108" t="str">
        <f t="shared" si="38"/>
        <v/>
      </c>
      <c r="BW8" s="108" t="str">
        <f t="shared" si="39"/>
        <v/>
      </c>
      <c r="BX8" s="108" t="str">
        <f t="shared" si="40"/>
        <v/>
      </c>
      <c r="BY8" s="108" t="str">
        <f t="shared" si="41"/>
        <v/>
      </c>
    </row>
    <row r="9" spans="3:77" ht="15.75" customHeight="1">
      <c r="C9" s="77" t="s">
        <v>79</v>
      </c>
      <c r="D9" s="89" t="s">
        <v>79</v>
      </c>
      <c r="E9" s="26" t="str">
        <f t="shared" ca="1" si="42"/>
        <v>showifcell=molnify!$D$8;showifvaluenot=Pick product;dividername=</v>
      </c>
      <c r="F9" s="105" t="b">
        <f t="shared" si="0"/>
        <v>0</v>
      </c>
      <c r="G9" s="105" t="str">
        <f>IF(F9,IFERROR(VLOOKUP(D9,products!$B$3:$G$84,4,0),""),"")</f>
        <v/>
      </c>
      <c r="H9" s="105" t="str">
        <f t="shared" si="1"/>
        <v/>
      </c>
      <c r="I9" s="105" t="str">
        <f>IF(AND(F9,show_thumbs),IFERROR(VLOOKUP(D9,products!$B$3:$H$84,7,0),""),"")</f>
        <v/>
      </c>
      <c r="J9" s="72" t="str">
        <f t="shared" si="2"/>
        <v/>
      </c>
      <c r="K9" s="29" t="s">
        <v>73</v>
      </c>
      <c r="L9" s="40">
        <v>1</v>
      </c>
      <c r="M9" s="26" t="str">
        <f t="shared" ca="1" si="3"/>
        <v>showifcell=molnify!$D$9;showifvaluenot=Pick product</v>
      </c>
      <c r="N9" s="105" t="str">
        <f t="shared" si="4"/>
        <v/>
      </c>
      <c r="O9" s="29" t="s">
        <v>492</v>
      </c>
      <c r="P9" s="40" t="s">
        <v>493</v>
      </c>
      <c r="Q9" s="26" t="str">
        <f t="shared" ca="1" si="5"/>
        <v>showifcell=molnify!$D$9;showifvaluenot=Pick product</v>
      </c>
      <c r="R9" s="105" t="str">
        <f t="shared" si="6"/>
        <v/>
      </c>
      <c r="S9" s="72" t="str">
        <f t="shared" si="7"/>
        <v/>
      </c>
      <c r="T9" s="42" t="s">
        <v>451</v>
      </c>
      <c r="U9" s="27" t="str">
        <f t="shared" si="43"/>
        <v/>
      </c>
      <c r="V9" s="5" t="str">
        <f t="shared" ca="1" si="8"/>
        <v>html;hidecopy;amonginputs;showifcell=molnify!$D$9;showifvaluenot=Pick product</v>
      </c>
      <c r="W9" s="5" t="s">
        <v>81</v>
      </c>
      <c r="X9" s="40" t="s">
        <v>447</v>
      </c>
      <c r="Y9" s="26" t="str">
        <f t="shared" ca="1" si="9"/>
        <v>select;showifcell=molnify!$D$9;showifvaluenot=Pick product;resetWhenHidden</v>
      </c>
      <c r="Z9" s="105" t="str">
        <f t="shared" si="10"/>
        <v/>
      </c>
      <c r="AA9" s="5" t="s">
        <v>82</v>
      </c>
      <c r="AB9" s="41">
        <v>0.1</v>
      </c>
      <c r="AC9" s="28" t="str">
        <f t="shared" ca="1" si="44"/>
        <v>showifcell=molnify!$X$9;showifvaluenot=Off</v>
      </c>
      <c r="AD9" s="1" t="s">
        <v>83</v>
      </c>
      <c r="AE9" s="40">
        <v>0</v>
      </c>
      <c r="AF9" s="28" t="str">
        <f t="shared" ca="1" si="11"/>
        <v>showifcell=molnify!$X$9;showifvaluenot=Off</v>
      </c>
      <c r="AG9" s="5" t="s">
        <v>84</v>
      </c>
      <c r="AH9" s="40">
        <v>0</v>
      </c>
      <c r="AI9" s="28" t="str">
        <f t="shared" ca="1" si="12"/>
        <v>showifcell=molnify!$X$9;showifvaluenot=Off</v>
      </c>
      <c r="AJ9" s="105" t="str">
        <f t="shared" si="13"/>
        <v/>
      </c>
      <c r="AK9" s="105" t="str">
        <f t="shared" si="14"/>
        <v/>
      </c>
      <c r="AL9" s="72" t="str">
        <f t="shared" si="15"/>
        <v/>
      </c>
      <c r="AM9" s="72" t="str">
        <f t="shared" si="16"/>
        <v/>
      </c>
      <c r="AN9" s="106" t="str">
        <f t="shared" si="17"/>
        <v/>
      </c>
      <c r="AO9" s="73" t="str">
        <f t="shared" si="18"/>
        <v/>
      </c>
      <c r="AP9" s="73" t="str">
        <f t="shared" si="19"/>
        <v/>
      </c>
      <c r="AQ9" s="106" t="str">
        <f t="shared" si="20"/>
        <v/>
      </c>
      <c r="AR9" s="110" t="str">
        <f t="shared" si="21"/>
        <v/>
      </c>
      <c r="AS9" s="110" t="str">
        <f t="shared" si="22"/>
        <v/>
      </c>
      <c r="AT9" s="84" t="s">
        <v>463</v>
      </c>
      <c r="AU9" s="102">
        <v>0.25</v>
      </c>
      <c r="AV9" s="26" t="str">
        <f t="shared" ca="1" si="23"/>
        <v>showifcell=molnify!$D$9;showifvaluenot=Pick product;resetWhenHidden</v>
      </c>
      <c r="AW9" s="74" t="str">
        <f>IF(G9="","",VLOOKUP(BH9,products!$B$3:$G$84,3,0))</f>
        <v/>
      </c>
      <c r="AX9" s="107" t="str">
        <f t="shared" si="24"/>
        <v/>
      </c>
      <c r="AY9" s="107" t="str">
        <f t="shared" si="25"/>
        <v/>
      </c>
      <c r="AZ9" s="77" t="s">
        <v>37</v>
      </c>
      <c r="BA9" s="35"/>
      <c r="BB9" s="1" t="str">
        <f t="shared" ca="1" si="26"/>
        <v>textarea;showifcell=molnify!$D$9;showifvaluenot=Pick product</v>
      </c>
      <c r="BC9" s="43" t="s">
        <v>532</v>
      </c>
      <c r="BF9" s="75"/>
      <c r="BH9" s="108" t="str">
        <f t="shared" si="45"/>
        <v/>
      </c>
      <c r="BI9" s="108" t="str">
        <f t="shared" si="27"/>
        <v/>
      </c>
      <c r="BJ9" s="108" t="str">
        <f t="shared" si="28"/>
        <v/>
      </c>
      <c r="BK9" s="108" t="str">
        <f t="shared" si="29"/>
        <v/>
      </c>
      <c r="BL9" s="108" t="str">
        <f t="shared" si="30"/>
        <v/>
      </c>
      <c r="BM9" s="108" t="str">
        <f t="shared" si="46"/>
        <v/>
      </c>
      <c r="BN9" s="108" t="str">
        <f t="shared" si="47"/>
        <v/>
      </c>
      <c r="BO9" s="108" t="str">
        <f t="shared" si="31"/>
        <v/>
      </c>
      <c r="BP9" s="109" t="str">
        <f t="shared" si="32"/>
        <v/>
      </c>
      <c r="BQ9" s="108" t="str">
        <f t="shared" si="33"/>
        <v/>
      </c>
      <c r="BR9" s="108" t="str">
        <f t="shared" si="34"/>
        <v/>
      </c>
      <c r="BS9" s="108" t="str">
        <f t="shared" si="35"/>
        <v/>
      </c>
      <c r="BT9" s="108" t="str">
        <f t="shared" si="36"/>
        <v/>
      </c>
      <c r="BU9" s="108" t="str">
        <f t="shared" si="37"/>
        <v/>
      </c>
      <c r="BV9" s="108" t="str">
        <f t="shared" si="38"/>
        <v/>
      </c>
      <c r="BW9" s="108" t="str">
        <f t="shared" si="39"/>
        <v/>
      </c>
      <c r="BX9" s="108" t="str">
        <f t="shared" si="40"/>
        <v/>
      </c>
      <c r="BY9" s="108" t="str">
        <f t="shared" si="41"/>
        <v/>
      </c>
    </row>
    <row r="10" spans="3:77" ht="15.75" customHeight="1">
      <c r="C10" s="77" t="s">
        <v>79</v>
      </c>
      <c r="D10" s="40" t="s">
        <v>79</v>
      </c>
      <c r="E10" s="26" t="str">
        <f t="shared" ca="1" si="42"/>
        <v>showifcell=molnify!$D$9;showifvaluenot=Pick product;dividername=</v>
      </c>
      <c r="F10" s="105" t="b">
        <f t="shared" si="0"/>
        <v>0</v>
      </c>
      <c r="G10" s="105" t="str">
        <f>IF(F10,IFERROR(VLOOKUP(D10,products!$B$3:$G$84,4,0),""),"")</f>
        <v/>
      </c>
      <c r="H10" s="105" t="str">
        <f t="shared" si="1"/>
        <v/>
      </c>
      <c r="I10" s="105" t="str">
        <f>IF(AND(F10,show_thumbs),IFERROR(VLOOKUP(D10,products!$B$3:$H$84,7,0),""),"")</f>
        <v/>
      </c>
      <c r="J10" s="72" t="str">
        <f t="shared" si="2"/>
        <v/>
      </c>
      <c r="K10" s="29" t="s">
        <v>73</v>
      </c>
      <c r="L10" s="40">
        <v>1</v>
      </c>
      <c r="M10" s="26" t="str">
        <f t="shared" ca="1" si="3"/>
        <v>showifcell=molnify!$D$10;showifvaluenot=Pick product</v>
      </c>
      <c r="N10" s="105" t="str">
        <f t="shared" si="4"/>
        <v/>
      </c>
      <c r="O10" s="29" t="s">
        <v>492</v>
      </c>
      <c r="P10" s="40" t="s">
        <v>493</v>
      </c>
      <c r="Q10" s="26" t="str">
        <f t="shared" ca="1" si="5"/>
        <v>showifcell=molnify!$D$10;showifvaluenot=Pick product</v>
      </c>
      <c r="R10" s="105" t="str">
        <f t="shared" si="6"/>
        <v/>
      </c>
      <c r="S10" s="72" t="str">
        <f t="shared" si="7"/>
        <v/>
      </c>
      <c r="T10" s="42" t="s">
        <v>451</v>
      </c>
      <c r="U10" s="27" t="str">
        <f t="shared" si="43"/>
        <v/>
      </c>
      <c r="V10" s="5" t="str">
        <f t="shared" ca="1" si="8"/>
        <v>html;hidecopy;amonginputs;showifcell=molnify!$D$10;showifvaluenot=Pick product</v>
      </c>
      <c r="W10" s="5" t="s">
        <v>81</v>
      </c>
      <c r="X10" s="40" t="s">
        <v>447</v>
      </c>
      <c r="Y10" s="26" t="str">
        <f t="shared" ca="1" si="9"/>
        <v>select;showifcell=molnify!$D$10;showifvaluenot=Pick product;resetWhenHidden</v>
      </c>
      <c r="Z10" s="105" t="str">
        <f t="shared" si="10"/>
        <v/>
      </c>
      <c r="AA10" s="5" t="s">
        <v>82</v>
      </c>
      <c r="AB10" s="41">
        <v>0.1</v>
      </c>
      <c r="AC10" s="28" t="str">
        <f t="shared" ca="1" si="44"/>
        <v>showifcell=molnify!$X$10;showifvaluenot=Off</v>
      </c>
      <c r="AD10" s="1" t="s">
        <v>83</v>
      </c>
      <c r="AE10" s="40">
        <v>0</v>
      </c>
      <c r="AF10" s="28" t="str">
        <f t="shared" ca="1" si="11"/>
        <v>showifcell=molnify!$X$10;showifvaluenot=Off</v>
      </c>
      <c r="AG10" s="5" t="s">
        <v>84</v>
      </c>
      <c r="AH10" s="40">
        <v>0</v>
      </c>
      <c r="AI10" s="28" t="str">
        <f t="shared" ca="1" si="12"/>
        <v>showifcell=molnify!$X$10;showifvaluenot=Off</v>
      </c>
      <c r="AJ10" s="105" t="str">
        <f t="shared" si="13"/>
        <v/>
      </c>
      <c r="AK10" s="105" t="str">
        <f t="shared" si="14"/>
        <v/>
      </c>
      <c r="AL10" s="72" t="str">
        <f t="shared" si="15"/>
        <v/>
      </c>
      <c r="AM10" s="72" t="str">
        <f t="shared" si="16"/>
        <v/>
      </c>
      <c r="AN10" s="106" t="str">
        <f t="shared" si="17"/>
        <v/>
      </c>
      <c r="AO10" s="73" t="str">
        <f t="shared" si="18"/>
        <v/>
      </c>
      <c r="AP10" s="73" t="str">
        <f t="shared" si="19"/>
        <v/>
      </c>
      <c r="AQ10" s="106" t="str">
        <f t="shared" si="20"/>
        <v/>
      </c>
      <c r="AR10" s="110" t="str">
        <f t="shared" si="21"/>
        <v/>
      </c>
      <c r="AS10" s="110" t="str">
        <f t="shared" si="22"/>
        <v/>
      </c>
      <c r="AT10" s="84" t="s">
        <v>463</v>
      </c>
      <c r="AU10" s="102">
        <v>0.25</v>
      </c>
      <c r="AV10" s="26" t="str">
        <f t="shared" ca="1" si="23"/>
        <v>showifcell=molnify!$D$10;showifvaluenot=Pick product;resetWhenHidden</v>
      </c>
      <c r="AW10" s="74" t="str">
        <f>IF(G10="","",VLOOKUP(BH10,products!$B$3:$G$84,3,0))</f>
        <v/>
      </c>
      <c r="AX10" s="107" t="str">
        <f t="shared" si="24"/>
        <v/>
      </c>
      <c r="AY10" s="107" t="str">
        <f t="shared" si="25"/>
        <v/>
      </c>
      <c r="AZ10" s="77" t="s">
        <v>37</v>
      </c>
      <c r="BA10" s="35"/>
      <c r="BB10" s="1" t="str">
        <f t="shared" ca="1" si="26"/>
        <v>textarea;showifcell=molnify!$D$10;showifvaluenot=Pick product</v>
      </c>
      <c r="BC10" s="43" t="s">
        <v>532</v>
      </c>
      <c r="BF10" s="75"/>
      <c r="BH10" s="108" t="str">
        <f t="shared" si="45"/>
        <v/>
      </c>
      <c r="BI10" s="108" t="str">
        <f t="shared" si="27"/>
        <v/>
      </c>
      <c r="BJ10" s="108" t="str">
        <f t="shared" si="28"/>
        <v/>
      </c>
      <c r="BK10" s="108" t="str">
        <f t="shared" si="29"/>
        <v/>
      </c>
      <c r="BL10" s="108" t="str">
        <f t="shared" si="30"/>
        <v/>
      </c>
      <c r="BM10" s="108" t="str">
        <f t="shared" si="46"/>
        <v/>
      </c>
      <c r="BN10" s="108" t="str">
        <f t="shared" si="47"/>
        <v/>
      </c>
      <c r="BO10" s="108" t="str">
        <f t="shared" si="31"/>
        <v/>
      </c>
      <c r="BP10" s="109" t="str">
        <f t="shared" si="32"/>
        <v/>
      </c>
      <c r="BQ10" s="108" t="str">
        <f t="shared" si="33"/>
        <v/>
      </c>
      <c r="BR10" s="108" t="str">
        <f t="shared" si="34"/>
        <v/>
      </c>
      <c r="BS10" s="108" t="str">
        <f t="shared" si="35"/>
        <v/>
      </c>
      <c r="BT10" s="108" t="str">
        <f t="shared" si="36"/>
        <v/>
      </c>
      <c r="BU10" s="108" t="str">
        <f t="shared" si="37"/>
        <v/>
      </c>
      <c r="BV10" s="108" t="str">
        <f t="shared" si="38"/>
        <v/>
      </c>
      <c r="BW10" s="108" t="str">
        <f t="shared" si="39"/>
        <v/>
      </c>
      <c r="BX10" s="108" t="str">
        <f t="shared" si="40"/>
        <v/>
      </c>
      <c r="BY10" s="108" t="str">
        <f t="shared" si="41"/>
        <v/>
      </c>
    </row>
    <row r="11" spans="3:77" ht="15.75" customHeight="1">
      <c r="C11" s="77" t="s">
        <v>79</v>
      </c>
      <c r="D11" s="40" t="s">
        <v>79</v>
      </c>
      <c r="E11" s="26" t="str">
        <f t="shared" ca="1" si="42"/>
        <v>showifcell=molnify!$D$10;showifvaluenot=Pick product;dividername=</v>
      </c>
      <c r="F11" s="105" t="b">
        <f t="shared" si="0"/>
        <v>0</v>
      </c>
      <c r="G11" s="105" t="str">
        <f>IF(F11,IFERROR(VLOOKUP(D11,products!$B$3:$G$84,4,0),""),"")</f>
        <v/>
      </c>
      <c r="H11" s="105" t="str">
        <f t="shared" si="1"/>
        <v/>
      </c>
      <c r="I11" s="105" t="str">
        <f>IF(AND(F11,show_thumbs),IFERROR(VLOOKUP(D11,products!$B$3:$H$84,7,0),""),"")</f>
        <v/>
      </c>
      <c r="J11" s="72" t="str">
        <f t="shared" si="2"/>
        <v/>
      </c>
      <c r="K11" s="29" t="s">
        <v>73</v>
      </c>
      <c r="L11" s="40">
        <v>1</v>
      </c>
      <c r="M11" s="26" t="str">
        <f t="shared" ca="1" si="3"/>
        <v>showifcell=molnify!$D$11;showifvaluenot=Pick product</v>
      </c>
      <c r="N11" s="105" t="str">
        <f t="shared" si="4"/>
        <v/>
      </c>
      <c r="O11" s="29" t="s">
        <v>492</v>
      </c>
      <c r="P11" s="40" t="s">
        <v>493</v>
      </c>
      <c r="Q11" s="26" t="str">
        <f t="shared" ca="1" si="5"/>
        <v>showifcell=molnify!$D$11;showifvaluenot=Pick product</v>
      </c>
      <c r="R11" s="105" t="str">
        <f t="shared" si="6"/>
        <v/>
      </c>
      <c r="S11" s="72" t="str">
        <f t="shared" si="7"/>
        <v/>
      </c>
      <c r="T11" s="42" t="s">
        <v>451</v>
      </c>
      <c r="U11" s="27" t="str">
        <f t="shared" si="43"/>
        <v/>
      </c>
      <c r="V11" s="5" t="str">
        <f t="shared" ca="1" si="8"/>
        <v>html;hidecopy;amonginputs;showifcell=molnify!$D$11;showifvaluenot=Pick product</v>
      </c>
      <c r="W11" s="5" t="s">
        <v>81</v>
      </c>
      <c r="X11" s="40" t="s">
        <v>447</v>
      </c>
      <c r="Y11" s="26" t="str">
        <f t="shared" ca="1" si="9"/>
        <v>select;showifcell=molnify!$D$11;showifvaluenot=Pick product;resetWhenHidden</v>
      </c>
      <c r="Z11" s="105" t="str">
        <f t="shared" si="10"/>
        <v/>
      </c>
      <c r="AA11" s="5" t="s">
        <v>82</v>
      </c>
      <c r="AB11" s="41">
        <v>0.1</v>
      </c>
      <c r="AC11" s="28" t="str">
        <f t="shared" ca="1" si="44"/>
        <v>showifcell=molnify!$X$11;showifvaluenot=Off</v>
      </c>
      <c r="AD11" s="1" t="s">
        <v>83</v>
      </c>
      <c r="AE11" s="40">
        <v>0</v>
      </c>
      <c r="AF11" s="28" t="str">
        <f t="shared" ca="1" si="11"/>
        <v>showifcell=molnify!$X$11;showifvaluenot=Off</v>
      </c>
      <c r="AG11" s="5" t="s">
        <v>84</v>
      </c>
      <c r="AH11" s="40">
        <v>0</v>
      </c>
      <c r="AI11" s="28" t="str">
        <f t="shared" ca="1" si="12"/>
        <v>showifcell=molnify!$X$11;showifvaluenot=Off</v>
      </c>
      <c r="AJ11" s="105" t="str">
        <f t="shared" si="13"/>
        <v/>
      </c>
      <c r="AK11" s="105" t="str">
        <f t="shared" si="14"/>
        <v/>
      </c>
      <c r="AL11" s="72" t="str">
        <f t="shared" si="15"/>
        <v/>
      </c>
      <c r="AM11" s="72" t="str">
        <f t="shared" si="16"/>
        <v/>
      </c>
      <c r="AN11" s="106" t="str">
        <f t="shared" si="17"/>
        <v/>
      </c>
      <c r="AO11" s="73" t="str">
        <f t="shared" si="18"/>
        <v/>
      </c>
      <c r="AP11" s="73" t="str">
        <f t="shared" si="19"/>
        <v/>
      </c>
      <c r="AQ11" s="106" t="str">
        <f t="shared" si="20"/>
        <v/>
      </c>
      <c r="AR11" s="110" t="str">
        <f t="shared" si="21"/>
        <v/>
      </c>
      <c r="AS11" s="110" t="str">
        <f t="shared" si="22"/>
        <v/>
      </c>
      <c r="AT11" s="84" t="s">
        <v>463</v>
      </c>
      <c r="AU11" s="102">
        <v>0.25</v>
      </c>
      <c r="AV11" s="26" t="str">
        <f t="shared" ca="1" si="23"/>
        <v>showifcell=molnify!$D$11;showifvaluenot=Pick product;resetWhenHidden</v>
      </c>
      <c r="AW11" s="74" t="str">
        <f>IF(G11="","",VLOOKUP(BH11,products!$B$3:$G$84,3,0))</f>
        <v/>
      </c>
      <c r="AX11" s="107" t="str">
        <f t="shared" si="24"/>
        <v/>
      </c>
      <c r="AY11" s="107" t="str">
        <f t="shared" si="25"/>
        <v/>
      </c>
      <c r="AZ11" s="77" t="s">
        <v>37</v>
      </c>
      <c r="BA11" s="35"/>
      <c r="BB11" s="1" t="str">
        <f t="shared" ca="1" si="26"/>
        <v>textarea;showifcell=molnify!$D$11;showifvaluenot=Pick product</v>
      </c>
      <c r="BC11" s="1" t="s">
        <v>507</v>
      </c>
      <c r="BD11" s="114" t="str">
        <f>IFERROR(IF(AX18&gt;0,"€ " &amp; TEXT(AX18,"## ###.00"),"--"), "--")</f>
        <v>--</v>
      </c>
      <c r="BE11" s="1" t="str">
        <f>"variable=total_vat;rightColumn;background=" &amp; BF11 &amp; ";icon=" &amp; BG11</f>
        <v>variable=total_vat;rightColumn;background=#3f5365;icon=fa-percent</v>
      </c>
      <c r="BF11" s="128" t="s">
        <v>565</v>
      </c>
      <c r="BG11" s="75" t="s">
        <v>563</v>
      </c>
      <c r="BH11" s="108" t="str">
        <f t="shared" si="45"/>
        <v/>
      </c>
      <c r="BI11" s="108" t="str">
        <f t="shared" si="27"/>
        <v/>
      </c>
      <c r="BJ11" s="108" t="str">
        <f t="shared" si="28"/>
        <v/>
      </c>
      <c r="BK11" s="108" t="str">
        <f t="shared" si="29"/>
        <v/>
      </c>
      <c r="BL11" s="108" t="str">
        <f t="shared" si="30"/>
        <v/>
      </c>
      <c r="BM11" s="108" t="str">
        <f t="shared" si="46"/>
        <v/>
      </c>
      <c r="BN11" s="108" t="str">
        <f t="shared" si="47"/>
        <v/>
      </c>
      <c r="BO11" s="108" t="str">
        <f t="shared" si="31"/>
        <v/>
      </c>
      <c r="BP11" s="109" t="str">
        <f t="shared" si="32"/>
        <v/>
      </c>
      <c r="BQ11" s="108" t="str">
        <f t="shared" si="33"/>
        <v/>
      </c>
      <c r="BR11" s="108" t="str">
        <f t="shared" si="34"/>
        <v/>
      </c>
      <c r="BS11" s="108" t="str">
        <f t="shared" si="35"/>
        <v/>
      </c>
      <c r="BT11" s="108" t="str">
        <f t="shared" si="36"/>
        <v/>
      </c>
      <c r="BU11" s="108" t="str">
        <f t="shared" si="37"/>
        <v/>
      </c>
      <c r="BV11" s="108" t="str">
        <f t="shared" si="38"/>
        <v/>
      </c>
      <c r="BW11" s="108" t="str">
        <f t="shared" si="39"/>
        <v/>
      </c>
      <c r="BX11" s="108" t="str">
        <f t="shared" si="40"/>
        <v/>
      </c>
      <c r="BY11" s="108" t="str">
        <f t="shared" si="41"/>
        <v/>
      </c>
    </row>
    <row r="12" spans="3:77" ht="15.75" customHeight="1">
      <c r="C12" s="77" t="s">
        <v>79</v>
      </c>
      <c r="D12" s="40" t="s">
        <v>79</v>
      </c>
      <c r="E12" s="26" t="str">
        <f t="shared" ca="1" si="42"/>
        <v>showifcell=molnify!$D$11;showifvaluenot=Pick product;dividername=</v>
      </c>
      <c r="F12" s="105" t="b">
        <f t="shared" si="0"/>
        <v>0</v>
      </c>
      <c r="G12" s="105" t="str">
        <f>IF(F12,IFERROR(VLOOKUP(D12,products!$B$3:$G$84,4,0),""),"")</f>
        <v/>
      </c>
      <c r="H12" s="105" t="str">
        <f t="shared" si="1"/>
        <v/>
      </c>
      <c r="I12" s="105" t="str">
        <f>IF(AND(F12,show_thumbs),IFERROR(VLOOKUP(D12,products!$B$3:$H$84,7,0),""),"")</f>
        <v/>
      </c>
      <c r="J12" s="72" t="str">
        <f t="shared" si="2"/>
        <v/>
      </c>
      <c r="K12" s="29" t="s">
        <v>73</v>
      </c>
      <c r="L12" s="40">
        <v>1</v>
      </c>
      <c r="M12" s="26" t="str">
        <f t="shared" ca="1" si="3"/>
        <v>showifcell=molnify!$D$12;showifvaluenot=Pick product</v>
      </c>
      <c r="N12" s="105" t="str">
        <f t="shared" si="4"/>
        <v/>
      </c>
      <c r="O12" s="29" t="s">
        <v>492</v>
      </c>
      <c r="P12" s="40" t="s">
        <v>493</v>
      </c>
      <c r="Q12" s="26" t="str">
        <f t="shared" ca="1" si="5"/>
        <v>showifcell=molnify!$D$12;showifvaluenot=Pick product</v>
      </c>
      <c r="R12" s="105" t="str">
        <f t="shared" si="6"/>
        <v/>
      </c>
      <c r="S12" s="72" t="str">
        <f t="shared" si="7"/>
        <v/>
      </c>
      <c r="T12" s="42" t="s">
        <v>451</v>
      </c>
      <c r="U12" s="27" t="str">
        <f t="shared" si="43"/>
        <v/>
      </c>
      <c r="V12" s="5" t="str">
        <f t="shared" ca="1" si="8"/>
        <v>html;hidecopy;amonginputs;showifcell=molnify!$D$12;showifvaluenot=Pick product</v>
      </c>
      <c r="W12" s="5" t="s">
        <v>81</v>
      </c>
      <c r="X12" s="40" t="s">
        <v>447</v>
      </c>
      <c r="Y12" s="26" t="str">
        <f t="shared" ca="1" si="9"/>
        <v>select;showifcell=molnify!$D$12;showifvaluenot=Pick product;resetWhenHidden</v>
      </c>
      <c r="Z12" s="105" t="str">
        <f t="shared" si="10"/>
        <v/>
      </c>
      <c r="AA12" s="5" t="s">
        <v>82</v>
      </c>
      <c r="AB12" s="41">
        <v>0.1</v>
      </c>
      <c r="AC12" s="28" t="str">
        <f t="shared" ca="1" si="44"/>
        <v>showifcell=molnify!$X$12;showifvaluenot=Off</v>
      </c>
      <c r="AD12" s="1" t="s">
        <v>83</v>
      </c>
      <c r="AE12" s="40">
        <v>0</v>
      </c>
      <c r="AF12" s="28" t="str">
        <f t="shared" ca="1" si="11"/>
        <v>showifcell=molnify!$X$12;showifvaluenot=Off</v>
      </c>
      <c r="AG12" s="5" t="s">
        <v>84</v>
      </c>
      <c r="AH12" s="40">
        <v>0</v>
      </c>
      <c r="AI12" s="28" t="str">
        <f t="shared" ca="1" si="12"/>
        <v>showifcell=molnify!$X$12;showifvaluenot=Off</v>
      </c>
      <c r="AJ12" s="105" t="str">
        <f t="shared" si="13"/>
        <v/>
      </c>
      <c r="AK12" s="105" t="str">
        <f t="shared" si="14"/>
        <v/>
      </c>
      <c r="AL12" s="72" t="str">
        <f t="shared" si="15"/>
        <v/>
      </c>
      <c r="AM12" s="72" t="str">
        <f t="shared" si="16"/>
        <v/>
      </c>
      <c r="AN12" s="106" t="str">
        <f t="shared" si="17"/>
        <v/>
      </c>
      <c r="AO12" s="73" t="str">
        <f t="shared" si="18"/>
        <v/>
      </c>
      <c r="AP12" s="73" t="str">
        <f t="shared" si="19"/>
        <v/>
      </c>
      <c r="AQ12" s="106" t="str">
        <f t="shared" si="20"/>
        <v/>
      </c>
      <c r="AR12" s="110" t="str">
        <f t="shared" si="21"/>
        <v/>
      </c>
      <c r="AS12" s="110" t="str">
        <f t="shared" si="22"/>
        <v/>
      </c>
      <c r="AT12" s="84" t="s">
        <v>463</v>
      </c>
      <c r="AU12" s="102">
        <v>0.25</v>
      </c>
      <c r="AV12" s="26" t="str">
        <f t="shared" ca="1" si="23"/>
        <v>showifcell=molnify!$D$12;showifvaluenot=Pick product;resetWhenHidden</v>
      </c>
      <c r="AW12" s="74" t="str">
        <f>IF(G12="","",VLOOKUP(BH12,products!$B$3:$G$84,3,0))</f>
        <v/>
      </c>
      <c r="AX12" s="107" t="str">
        <f t="shared" si="24"/>
        <v/>
      </c>
      <c r="AY12" s="107" t="str">
        <f t="shared" si="25"/>
        <v/>
      </c>
      <c r="AZ12" s="77" t="s">
        <v>37</v>
      </c>
      <c r="BA12" s="35"/>
      <c r="BB12" s="1" t="str">
        <f t="shared" ca="1" si="26"/>
        <v>textarea;showifcell=molnify!$D$12;showifvaluenot=Pick product</v>
      </c>
      <c r="BC12" s="75" t="s">
        <v>532</v>
      </c>
      <c r="BD12" s="1"/>
      <c r="BE12" s="1"/>
      <c r="BF12" s="129"/>
      <c r="BH12" s="108" t="str">
        <f t="shared" si="45"/>
        <v/>
      </c>
      <c r="BI12" s="108" t="str">
        <f t="shared" si="27"/>
        <v/>
      </c>
      <c r="BJ12" s="108" t="str">
        <f t="shared" si="28"/>
        <v/>
      </c>
      <c r="BK12" s="108" t="str">
        <f t="shared" si="29"/>
        <v/>
      </c>
      <c r="BL12" s="108" t="str">
        <f t="shared" si="30"/>
        <v/>
      </c>
      <c r="BM12" s="108" t="str">
        <f t="shared" si="46"/>
        <v/>
      </c>
      <c r="BN12" s="108" t="str">
        <f t="shared" si="47"/>
        <v/>
      </c>
      <c r="BO12" s="108" t="str">
        <f t="shared" si="31"/>
        <v/>
      </c>
      <c r="BP12" s="109" t="str">
        <f t="shared" si="32"/>
        <v/>
      </c>
      <c r="BQ12" s="108" t="str">
        <f t="shared" si="33"/>
        <v/>
      </c>
      <c r="BR12" s="108" t="str">
        <f t="shared" si="34"/>
        <v/>
      </c>
      <c r="BS12" s="108" t="str">
        <f t="shared" si="35"/>
        <v/>
      </c>
      <c r="BT12" s="108" t="str">
        <f t="shared" si="36"/>
        <v/>
      </c>
      <c r="BU12" s="108" t="str">
        <f t="shared" si="37"/>
        <v/>
      </c>
      <c r="BV12" s="108" t="str">
        <f t="shared" si="38"/>
        <v/>
      </c>
      <c r="BW12" s="108" t="str">
        <f t="shared" si="39"/>
        <v/>
      </c>
      <c r="BX12" s="108" t="str">
        <f t="shared" si="40"/>
        <v/>
      </c>
      <c r="BY12" s="108" t="str">
        <f t="shared" si="41"/>
        <v/>
      </c>
    </row>
    <row r="13" spans="3:77" ht="15.75" customHeight="1">
      <c r="C13" s="77" t="s">
        <v>79</v>
      </c>
      <c r="D13" s="40" t="s">
        <v>79</v>
      </c>
      <c r="E13" s="26" t="str">
        <f t="shared" ca="1" si="42"/>
        <v>showifcell=molnify!$D$12;showifvaluenot=Pick product;dividername=</v>
      </c>
      <c r="F13" s="105" t="b">
        <f t="shared" si="0"/>
        <v>0</v>
      </c>
      <c r="G13" s="105" t="str">
        <f>IF(F13,IFERROR(VLOOKUP(D13,products!$B$3:$G$84,4,0),""),"")</f>
        <v/>
      </c>
      <c r="H13" s="105" t="str">
        <f t="shared" si="1"/>
        <v/>
      </c>
      <c r="I13" s="105" t="str">
        <f>IF(AND(F13,show_thumbs),IFERROR(VLOOKUP(D13,products!$B$3:$H$84,7,0),""),"")</f>
        <v/>
      </c>
      <c r="J13" s="72" t="str">
        <f t="shared" si="2"/>
        <v/>
      </c>
      <c r="K13" s="29" t="s">
        <v>73</v>
      </c>
      <c r="L13" s="40">
        <v>1</v>
      </c>
      <c r="M13" s="26" t="str">
        <f t="shared" ca="1" si="3"/>
        <v>showifcell=molnify!$D$13;showifvaluenot=Pick product</v>
      </c>
      <c r="N13" s="105" t="str">
        <f t="shared" si="4"/>
        <v/>
      </c>
      <c r="O13" s="29" t="s">
        <v>492</v>
      </c>
      <c r="P13" s="40" t="s">
        <v>493</v>
      </c>
      <c r="Q13" s="26" t="str">
        <f t="shared" ca="1" si="5"/>
        <v>showifcell=molnify!$D$13;showifvaluenot=Pick product</v>
      </c>
      <c r="R13" s="105" t="str">
        <f t="shared" si="6"/>
        <v/>
      </c>
      <c r="S13" s="72" t="str">
        <f t="shared" si="7"/>
        <v/>
      </c>
      <c r="T13" s="42" t="s">
        <v>451</v>
      </c>
      <c r="U13" s="27" t="str">
        <f t="shared" si="43"/>
        <v/>
      </c>
      <c r="V13" s="5" t="str">
        <f t="shared" ca="1" si="8"/>
        <v>html;hidecopy;amonginputs;showifcell=molnify!$D$13;showifvaluenot=Pick product</v>
      </c>
      <c r="W13" s="5" t="s">
        <v>81</v>
      </c>
      <c r="X13" s="40" t="s">
        <v>447</v>
      </c>
      <c r="Y13" s="26" t="str">
        <f t="shared" ca="1" si="9"/>
        <v>select;showifcell=molnify!$D$13;showifvaluenot=Pick product;resetWhenHidden</v>
      </c>
      <c r="Z13" s="105" t="str">
        <f t="shared" si="10"/>
        <v/>
      </c>
      <c r="AA13" s="5" t="s">
        <v>82</v>
      </c>
      <c r="AB13" s="41">
        <v>0.1</v>
      </c>
      <c r="AC13" s="28" t="str">
        <f t="shared" ca="1" si="44"/>
        <v>showifcell=molnify!$X$13;showifvaluenot=Off</v>
      </c>
      <c r="AD13" s="1" t="s">
        <v>83</v>
      </c>
      <c r="AE13" s="40">
        <v>0</v>
      </c>
      <c r="AF13" s="28" t="str">
        <f t="shared" ca="1" si="11"/>
        <v>showifcell=molnify!$X$13;showifvaluenot=Off</v>
      </c>
      <c r="AG13" s="5" t="s">
        <v>84</v>
      </c>
      <c r="AH13" s="40">
        <v>0</v>
      </c>
      <c r="AI13" s="28" t="str">
        <f t="shared" ca="1" si="12"/>
        <v>showifcell=molnify!$X$13;showifvaluenot=Off</v>
      </c>
      <c r="AJ13" s="105" t="str">
        <f t="shared" si="13"/>
        <v/>
      </c>
      <c r="AK13" s="105" t="str">
        <f t="shared" si="14"/>
        <v/>
      </c>
      <c r="AL13" s="72" t="str">
        <f t="shared" si="15"/>
        <v/>
      </c>
      <c r="AM13" s="72" t="str">
        <f t="shared" si="16"/>
        <v/>
      </c>
      <c r="AN13" s="106" t="str">
        <f t="shared" si="17"/>
        <v/>
      </c>
      <c r="AO13" s="73" t="str">
        <f t="shared" si="18"/>
        <v/>
      </c>
      <c r="AP13" s="73" t="str">
        <f t="shared" si="19"/>
        <v/>
      </c>
      <c r="AQ13" s="106" t="str">
        <f t="shared" si="20"/>
        <v/>
      </c>
      <c r="AR13" s="110" t="str">
        <f t="shared" si="21"/>
        <v/>
      </c>
      <c r="AS13" s="110" t="str">
        <f t="shared" si="22"/>
        <v/>
      </c>
      <c r="AT13" s="84" t="s">
        <v>463</v>
      </c>
      <c r="AU13" s="102">
        <v>0.25</v>
      </c>
      <c r="AV13" s="26" t="str">
        <f t="shared" ca="1" si="23"/>
        <v>showifcell=molnify!$D$13;showifvaluenot=Pick product;resetWhenHidden</v>
      </c>
      <c r="AW13" s="74" t="str">
        <f>IF(G13="","",VLOOKUP(BH13,products!$B$3:$G$84,3,0))</f>
        <v/>
      </c>
      <c r="AX13" s="107" t="str">
        <f t="shared" si="24"/>
        <v/>
      </c>
      <c r="AY13" s="107" t="str">
        <f t="shared" si="25"/>
        <v/>
      </c>
      <c r="AZ13" s="77" t="s">
        <v>37</v>
      </c>
      <c r="BA13" s="35"/>
      <c r="BB13" s="1" t="str">
        <f t="shared" ca="1" si="26"/>
        <v>textarea;showifcell=molnify!$D$13;showifvaluenot=Pick product</v>
      </c>
      <c r="BC13" s="75" t="s">
        <v>533</v>
      </c>
      <c r="BD13" s="71" t="str">
        <f>IF(COUNTIF(Z7:Z16,"&gt;1") &gt;0,ROUND((AK18-AN18)/AK18,2) * 100 &amp; "%","--")</f>
        <v>--</v>
      </c>
      <c r="BE13" s="43" t="str">
        <f>"variable=total_discount;rightColumn;background=" &amp; BF13 &amp;";icon=" &amp; BG13</f>
        <v>variable=total_discount;rightColumn;background=#3f5365;icon=fa-tag</v>
      </c>
      <c r="BF13" s="128" t="s">
        <v>565</v>
      </c>
      <c r="BG13" s="43" t="s">
        <v>560</v>
      </c>
      <c r="BH13" s="108" t="str">
        <f t="shared" si="45"/>
        <v/>
      </c>
      <c r="BI13" s="108" t="str">
        <f t="shared" si="27"/>
        <v/>
      </c>
      <c r="BJ13" s="108" t="str">
        <f t="shared" si="28"/>
        <v/>
      </c>
      <c r="BK13" s="108" t="str">
        <f t="shared" si="29"/>
        <v/>
      </c>
      <c r="BL13" s="108" t="str">
        <f t="shared" si="30"/>
        <v/>
      </c>
      <c r="BM13" s="108" t="str">
        <f t="shared" si="46"/>
        <v/>
      </c>
      <c r="BN13" s="108" t="str">
        <f t="shared" si="47"/>
        <v/>
      </c>
      <c r="BO13" s="108" t="str">
        <f t="shared" si="31"/>
        <v/>
      </c>
      <c r="BP13" s="109" t="str">
        <f t="shared" si="32"/>
        <v/>
      </c>
      <c r="BQ13" s="108" t="str">
        <f t="shared" si="33"/>
        <v/>
      </c>
      <c r="BR13" s="108" t="str">
        <f t="shared" si="34"/>
        <v/>
      </c>
      <c r="BS13" s="108" t="str">
        <f t="shared" si="35"/>
        <v/>
      </c>
      <c r="BT13" s="108" t="str">
        <f t="shared" si="36"/>
        <v/>
      </c>
      <c r="BU13" s="108" t="str">
        <f t="shared" si="37"/>
        <v/>
      </c>
      <c r="BV13" s="108" t="str">
        <f t="shared" si="38"/>
        <v/>
      </c>
      <c r="BW13" s="108" t="str">
        <f t="shared" si="39"/>
        <v/>
      </c>
      <c r="BX13" s="108" t="str">
        <f t="shared" si="40"/>
        <v/>
      </c>
      <c r="BY13" s="108" t="str">
        <f t="shared" si="41"/>
        <v/>
      </c>
    </row>
    <row r="14" spans="3:77" ht="15.75" customHeight="1">
      <c r="C14" s="77" t="s">
        <v>79</v>
      </c>
      <c r="D14" s="40" t="s">
        <v>79</v>
      </c>
      <c r="E14" s="26" t="str">
        <f t="shared" ca="1" si="42"/>
        <v>showifcell=molnify!$D$13;showifvaluenot=Pick product;dividername=</v>
      </c>
      <c r="F14" s="105" t="b">
        <f t="shared" si="0"/>
        <v>0</v>
      </c>
      <c r="G14" s="105" t="str">
        <f>IF(F14,IFERROR(VLOOKUP(D14,products!$B$3:$G$84,4,0),""),"")</f>
        <v/>
      </c>
      <c r="H14" s="105" t="str">
        <f t="shared" si="1"/>
        <v/>
      </c>
      <c r="I14" s="105" t="str">
        <f>IF(AND(F14,show_thumbs),IFERROR(VLOOKUP(D14,products!$B$3:$H$84,7,0),""),"")</f>
        <v/>
      </c>
      <c r="J14" s="72" t="str">
        <f t="shared" si="2"/>
        <v/>
      </c>
      <c r="K14" s="29" t="s">
        <v>73</v>
      </c>
      <c r="L14" s="40">
        <v>1</v>
      </c>
      <c r="M14" s="26" t="str">
        <f t="shared" ca="1" si="3"/>
        <v>showifcell=molnify!$D$14;showifvaluenot=Pick product</v>
      </c>
      <c r="N14" s="105" t="str">
        <f t="shared" si="4"/>
        <v/>
      </c>
      <c r="O14" s="29" t="s">
        <v>492</v>
      </c>
      <c r="P14" s="40" t="s">
        <v>493</v>
      </c>
      <c r="Q14" s="26" t="str">
        <f t="shared" ca="1" si="5"/>
        <v>showifcell=molnify!$D$14;showifvaluenot=Pick product</v>
      </c>
      <c r="R14" s="105" t="str">
        <f t="shared" si="6"/>
        <v/>
      </c>
      <c r="S14" s="72" t="str">
        <f t="shared" si="7"/>
        <v/>
      </c>
      <c r="T14" s="42" t="s">
        <v>451</v>
      </c>
      <c r="U14" s="27" t="str">
        <f t="shared" si="43"/>
        <v/>
      </c>
      <c r="V14" s="5" t="str">
        <f t="shared" ca="1" si="8"/>
        <v>html;hidecopy;amonginputs;showifcell=molnify!$D$14;showifvaluenot=Pick product</v>
      </c>
      <c r="W14" s="5" t="s">
        <v>81</v>
      </c>
      <c r="X14" s="40" t="s">
        <v>447</v>
      </c>
      <c r="Y14" s="26" t="str">
        <f t="shared" ca="1" si="9"/>
        <v>select;showifcell=molnify!$D$14;showifvaluenot=Pick product;resetWhenHidden</v>
      </c>
      <c r="Z14" s="105" t="str">
        <f t="shared" si="10"/>
        <v/>
      </c>
      <c r="AA14" s="5" t="s">
        <v>82</v>
      </c>
      <c r="AB14" s="41">
        <v>0.1</v>
      </c>
      <c r="AC14" s="28" t="str">
        <f t="shared" ca="1" si="44"/>
        <v>showifcell=molnify!$X$14;showifvaluenot=Off</v>
      </c>
      <c r="AD14" s="1" t="s">
        <v>83</v>
      </c>
      <c r="AE14" s="40">
        <v>0</v>
      </c>
      <c r="AF14" s="28" t="str">
        <f t="shared" ca="1" si="11"/>
        <v>showifcell=molnify!$X$14;showifvaluenot=Off</v>
      </c>
      <c r="AG14" s="5" t="s">
        <v>84</v>
      </c>
      <c r="AH14" s="40">
        <v>0</v>
      </c>
      <c r="AI14" s="28" t="str">
        <f t="shared" ca="1" si="12"/>
        <v>showifcell=molnify!$X$14;showifvaluenot=Off</v>
      </c>
      <c r="AJ14" s="105" t="str">
        <f t="shared" si="13"/>
        <v/>
      </c>
      <c r="AK14" s="105" t="str">
        <f t="shared" si="14"/>
        <v/>
      </c>
      <c r="AL14" s="72" t="str">
        <f t="shared" si="15"/>
        <v/>
      </c>
      <c r="AM14" s="72" t="str">
        <f t="shared" si="16"/>
        <v/>
      </c>
      <c r="AN14" s="106" t="str">
        <f t="shared" si="17"/>
        <v/>
      </c>
      <c r="AO14" s="73" t="str">
        <f t="shared" si="18"/>
        <v/>
      </c>
      <c r="AP14" s="73" t="str">
        <f t="shared" si="19"/>
        <v/>
      </c>
      <c r="AQ14" s="106" t="str">
        <f t="shared" si="20"/>
        <v/>
      </c>
      <c r="AR14" s="110" t="str">
        <f t="shared" si="21"/>
        <v/>
      </c>
      <c r="AS14" s="110" t="str">
        <f t="shared" si="22"/>
        <v/>
      </c>
      <c r="AT14" s="84" t="s">
        <v>463</v>
      </c>
      <c r="AU14" s="102">
        <v>0.25</v>
      </c>
      <c r="AV14" s="26" t="str">
        <f t="shared" ca="1" si="23"/>
        <v>showifcell=molnify!$D$14;showifvaluenot=Pick product;resetWhenHidden</v>
      </c>
      <c r="AW14" s="74" t="str">
        <f>IF(G14="","",VLOOKUP(BH14,products!$B$3:$G$84,3,0))</f>
        <v/>
      </c>
      <c r="AX14" s="107" t="str">
        <f t="shared" si="24"/>
        <v/>
      </c>
      <c r="AY14" s="107" t="str">
        <f t="shared" si="25"/>
        <v/>
      </c>
      <c r="AZ14" s="77" t="s">
        <v>37</v>
      </c>
      <c r="BA14" s="35"/>
      <c r="BB14" s="1" t="str">
        <f t="shared" ca="1" si="26"/>
        <v>textarea;showifcell=molnify!$D$14;showifvaluenot=Pick product</v>
      </c>
      <c r="BC14" s="75" t="s">
        <v>532</v>
      </c>
      <c r="BD14" s="1"/>
      <c r="BE14" s="1"/>
      <c r="BF14" s="75"/>
      <c r="BH14" s="108" t="str">
        <f t="shared" si="45"/>
        <v/>
      </c>
      <c r="BI14" s="108" t="str">
        <f t="shared" si="27"/>
        <v/>
      </c>
      <c r="BJ14" s="108" t="str">
        <f t="shared" si="28"/>
        <v/>
      </c>
      <c r="BK14" s="108" t="str">
        <f t="shared" si="29"/>
        <v/>
      </c>
      <c r="BL14" s="108" t="str">
        <f t="shared" si="30"/>
        <v/>
      </c>
      <c r="BM14" s="108" t="str">
        <f t="shared" si="46"/>
        <v/>
      </c>
      <c r="BN14" s="108" t="str">
        <f t="shared" si="47"/>
        <v/>
      </c>
      <c r="BO14" s="108" t="str">
        <f t="shared" si="31"/>
        <v/>
      </c>
      <c r="BP14" s="109" t="str">
        <f t="shared" si="32"/>
        <v/>
      </c>
      <c r="BQ14" s="108" t="str">
        <f t="shared" si="33"/>
        <v/>
      </c>
      <c r="BR14" s="108" t="str">
        <f t="shared" si="34"/>
        <v/>
      </c>
      <c r="BS14" s="108" t="str">
        <f t="shared" si="35"/>
        <v/>
      </c>
      <c r="BT14" s="108" t="str">
        <f t="shared" si="36"/>
        <v/>
      </c>
      <c r="BU14" s="108" t="str">
        <f t="shared" si="37"/>
        <v/>
      </c>
      <c r="BV14" s="108" t="str">
        <f t="shared" si="38"/>
        <v/>
      </c>
      <c r="BW14" s="108" t="str">
        <f t="shared" si="39"/>
        <v/>
      </c>
      <c r="BX14" s="108" t="str">
        <f t="shared" si="40"/>
        <v/>
      </c>
      <c r="BY14" s="108" t="str">
        <f t="shared" si="41"/>
        <v/>
      </c>
    </row>
    <row r="15" spans="3:77" ht="15.75" customHeight="1">
      <c r="C15" s="77" t="s">
        <v>79</v>
      </c>
      <c r="D15" s="40" t="s">
        <v>79</v>
      </c>
      <c r="E15" s="26" t="str">
        <f t="shared" ca="1" si="42"/>
        <v>showifcell=molnify!$D$14;showifvaluenot=Pick product;dividername=</v>
      </c>
      <c r="F15" s="105" t="b">
        <f t="shared" si="0"/>
        <v>0</v>
      </c>
      <c r="G15" s="105" t="str">
        <f>IF(F15,IFERROR(VLOOKUP(D15,products!$B$3:$G$84,4,0),""),"")</f>
        <v/>
      </c>
      <c r="H15" s="105" t="str">
        <f t="shared" si="1"/>
        <v/>
      </c>
      <c r="I15" s="105" t="str">
        <f>IF(AND(F15,show_thumbs),IFERROR(VLOOKUP(D15,products!$B$3:$H$84,7,0),""),"")</f>
        <v/>
      </c>
      <c r="J15" s="72" t="str">
        <f t="shared" si="2"/>
        <v/>
      </c>
      <c r="K15" s="29" t="s">
        <v>73</v>
      </c>
      <c r="L15" s="40">
        <v>1</v>
      </c>
      <c r="M15" s="26" t="str">
        <f t="shared" ca="1" si="3"/>
        <v>showifcell=molnify!$D$15;showifvaluenot=Pick product</v>
      </c>
      <c r="N15" s="105" t="str">
        <f t="shared" si="4"/>
        <v/>
      </c>
      <c r="O15" s="29" t="s">
        <v>492</v>
      </c>
      <c r="P15" s="40" t="s">
        <v>493</v>
      </c>
      <c r="Q15" s="26" t="str">
        <f t="shared" ca="1" si="5"/>
        <v>showifcell=molnify!$D$15;showifvaluenot=Pick product</v>
      </c>
      <c r="R15" s="105" t="str">
        <f t="shared" si="6"/>
        <v/>
      </c>
      <c r="S15" s="72" t="str">
        <f t="shared" si="7"/>
        <v/>
      </c>
      <c r="T15" s="42" t="s">
        <v>451</v>
      </c>
      <c r="U15" s="27" t="str">
        <f t="shared" si="43"/>
        <v/>
      </c>
      <c r="V15" s="5" t="str">
        <f t="shared" ca="1" si="8"/>
        <v>html;hidecopy;amonginputs;showifcell=molnify!$D$15;showifvaluenot=Pick product</v>
      </c>
      <c r="W15" s="5" t="s">
        <v>81</v>
      </c>
      <c r="X15" s="40" t="s">
        <v>447</v>
      </c>
      <c r="Y15" s="26" t="str">
        <f t="shared" ca="1" si="9"/>
        <v>select;showifcell=molnify!$D$15;showifvaluenot=Pick product;resetWhenHidden</v>
      </c>
      <c r="Z15" s="105" t="str">
        <f t="shared" si="10"/>
        <v/>
      </c>
      <c r="AA15" s="5" t="s">
        <v>82</v>
      </c>
      <c r="AB15" s="41">
        <v>0.1</v>
      </c>
      <c r="AC15" s="28" t="str">
        <f t="shared" ca="1" si="44"/>
        <v>showifcell=molnify!$X$15;showifvaluenot=Off</v>
      </c>
      <c r="AD15" s="1" t="s">
        <v>83</v>
      </c>
      <c r="AE15" s="40">
        <v>0</v>
      </c>
      <c r="AF15" s="28" t="str">
        <f t="shared" ca="1" si="11"/>
        <v>showifcell=molnify!$X$15;showifvaluenot=Off</v>
      </c>
      <c r="AG15" s="5" t="s">
        <v>84</v>
      </c>
      <c r="AH15" s="40">
        <v>0</v>
      </c>
      <c r="AI15" s="28" t="str">
        <f t="shared" ca="1" si="12"/>
        <v>showifcell=molnify!$X$15;showifvaluenot=Off</v>
      </c>
      <c r="AJ15" s="105" t="str">
        <f t="shared" si="13"/>
        <v/>
      </c>
      <c r="AK15" s="105" t="str">
        <f t="shared" si="14"/>
        <v/>
      </c>
      <c r="AL15" s="72" t="str">
        <f t="shared" si="15"/>
        <v/>
      </c>
      <c r="AM15" s="72" t="str">
        <f t="shared" si="16"/>
        <v/>
      </c>
      <c r="AN15" s="106" t="str">
        <f t="shared" si="17"/>
        <v/>
      </c>
      <c r="AO15" s="73" t="str">
        <f t="shared" si="18"/>
        <v/>
      </c>
      <c r="AP15" s="73" t="str">
        <f t="shared" si="19"/>
        <v/>
      </c>
      <c r="AQ15" s="106" t="str">
        <f t="shared" si="20"/>
        <v/>
      </c>
      <c r="AR15" s="110" t="str">
        <f t="shared" si="21"/>
        <v/>
      </c>
      <c r="AS15" s="110" t="str">
        <f t="shared" si="22"/>
        <v/>
      </c>
      <c r="AT15" s="84" t="s">
        <v>463</v>
      </c>
      <c r="AU15" s="102">
        <v>0.25</v>
      </c>
      <c r="AV15" s="26" t="str">
        <f t="shared" ca="1" si="23"/>
        <v>showifcell=molnify!$D$15;showifvaluenot=Pick product;resetWhenHidden</v>
      </c>
      <c r="AW15" s="74" t="str">
        <f>IF(G15="","",VLOOKUP(BH15,products!$B$3:$G$84,3,0))</f>
        <v/>
      </c>
      <c r="AX15" s="107" t="str">
        <f t="shared" si="24"/>
        <v/>
      </c>
      <c r="AY15" s="107" t="str">
        <f t="shared" si="25"/>
        <v/>
      </c>
      <c r="AZ15" s="77" t="s">
        <v>37</v>
      </c>
      <c r="BA15" s="35"/>
      <c r="BB15" s="1" t="str">
        <f t="shared" ca="1" si="26"/>
        <v>textarea;showifcell=molnify!$D$15;showifvaluenot=Pick product</v>
      </c>
      <c r="BC15" s="88" t="s">
        <v>471</v>
      </c>
      <c r="BD15" s="87" t="str">
        <f>IF(AY19&gt;0,"€ " &amp; TEXT(AY19,"## ###.00"),"--")</f>
        <v>--</v>
      </c>
      <c r="BE15" s="43" t="str">
        <f>"variable=total_due;leftColumn;icon=" &amp; BG15 &amp; ";background=" &amp; BF15</f>
        <v>variable=total_due;leftColumn;icon=fa-shopping-bag;background=#2a2a2a</v>
      </c>
      <c r="BF15" s="127" t="s">
        <v>557</v>
      </c>
      <c r="BG15" s="43" t="s">
        <v>564</v>
      </c>
      <c r="BH15" s="108" t="str">
        <f t="shared" si="45"/>
        <v/>
      </c>
      <c r="BI15" s="108" t="str">
        <f t="shared" si="27"/>
        <v/>
      </c>
      <c r="BJ15" s="108" t="str">
        <f t="shared" si="28"/>
        <v/>
      </c>
      <c r="BK15" s="108" t="str">
        <f t="shared" si="29"/>
        <v/>
      </c>
      <c r="BL15" s="108" t="str">
        <f t="shared" si="30"/>
        <v/>
      </c>
      <c r="BM15" s="108" t="str">
        <f t="shared" si="46"/>
        <v/>
      </c>
      <c r="BN15" s="108" t="str">
        <f t="shared" si="47"/>
        <v/>
      </c>
      <c r="BO15" s="108" t="str">
        <f t="shared" si="31"/>
        <v/>
      </c>
      <c r="BP15" s="109" t="str">
        <f t="shared" si="32"/>
        <v/>
      </c>
      <c r="BQ15" s="108" t="str">
        <f t="shared" si="33"/>
        <v/>
      </c>
      <c r="BR15" s="108" t="str">
        <f t="shared" si="34"/>
        <v/>
      </c>
      <c r="BS15" s="108" t="str">
        <f t="shared" si="35"/>
        <v/>
      </c>
      <c r="BT15" s="108" t="str">
        <f t="shared" si="36"/>
        <v/>
      </c>
      <c r="BU15" s="108" t="str">
        <f t="shared" si="37"/>
        <v/>
      </c>
      <c r="BV15" s="108" t="str">
        <f t="shared" si="38"/>
        <v/>
      </c>
      <c r="BW15" s="108" t="str">
        <f t="shared" si="39"/>
        <v/>
      </c>
      <c r="BX15" s="108" t="str">
        <f t="shared" si="40"/>
        <v/>
      </c>
      <c r="BY15" s="108" t="str">
        <f t="shared" si="41"/>
        <v/>
      </c>
    </row>
    <row r="16" spans="3:77" ht="15.75" customHeight="1">
      <c r="C16" s="77" t="s">
        <v>79</v>
      </c>
      <c r="D16" s="40" t="s">
        <v>79</v>
      </c>
      <c r="E16" s="26" t="str">
        <f t="shared" ca="1" si="42"/>
        <v>showifcell=molnify!$D$15;showifvaluenot=Pick product;dividername=</v>
      </c>
      <c r="F16" s="105" t="b">
        <f t="shared" si="0"/>
        <v>0</v>
      </c>
      <c r="G16" s="105" t="str">
        <f>IF(F16,IFERROR(VLOOKUP(D16,products!$B$3:$G$84,4,0),""),"")</f>
        <v/>
      </c>
      <c r="H16" s="105" t="str">
        <f t="shared" si="1"/>
        <v/>
      </c>
      <c r="I16" s="105" t="str">
        <f>IF(AND(F16,show_thumbs),IFERROR(VLOOKUP(D16,products!$B$3:$H$84,7,0),""),"")</f>
        <v/>
      </c>
      <c r="J16" s="72" t="str">
        <f t="shared" si="2"/>
        <v/>
      </c>
      <c r="K16" s="29" t="s">
        <v>73</v>
      </c>
      <c r="L16" s="40">
        <v>1</v>
      </c>
      <c r="M16" s="26" t="str">
        <f t="shared" ca="1" si="3"/>
        <v>showifcell=molnify!$D$16;showifvaluenot=Pick product</v>
      </c>
      <c r="N16" s="105" t="str">
        <f t="shared" si="4"/>
        <v/>
      </c>
      <c r="O16" s="29" t="s">
        <v>492</v>
      </c>
      <c r="P16" s="40" t="s">
        <v>493</v>
      </c>
      <c r="Q16" s="26" t="str">
        <f t="shared" ca="1" si="5"/>
        <v>showifcell=molnify!$D$16;showifvaluenot=Pick product</v>
      </c>
      <c r="R16" s="105" t="str">
        <f t="shared" si="6"/>
        <v/>
      </c>
      <c r="S16" s="72" t="str">
        <f t="shared" si="7"/>
        <v/>
      </c>
      <c r="T16" s="42" t="s">
        <v>451</v>
      </c>
      <c r="U16" s="27" t="str">
        <f t="shared" si="43"/>
        <v/>
      </c>
      <c r="V16" s="5" t="str">
        <f t="shared" ca="1" si="8"/>
        <v>html;hidecopy;amonginputs;showifcell=molnify!$D$16;showifvaluenot=Pick product</v>
      </c>
      <c r="W16" s="5" t="s">
        <v>81</v>
      </c>
      <c r="X16" s="40" t="s">
        <v>447</v>
      </c>
      <c r="Y16" s="26" t="str">
        <f t="shared" ca="1" si="9"/>
        <v>select;showifcell=molnify!$D$16;showifvaluenot=Pick product;resetWhenHidden</v>
      </c>
      <c r="Z16" s="105" t="str">
        <f t="shared" si="10"/>
        <v/>
      </c>
      <c r="AA16" s="5" t="s">
        <v>82</v>
      </c>
      <c r="AB16" s="41">
        <v>0.1</v>
      </c>
      <c r="AC16" s="28" t="str">
        <f t="shared" ca="1" si="44"/>
        <v>showifcell=molnify!$X$16;showifvaluenot=Off</v>
      </c>
      <c r="AD16" s="1" t="s">
        <v>83</v>
      </c>
      <c r="AE16" s="40">
        <v>0</v>
      </c>
      <c r="AF16" s="28" t="str">
        <f t="shared" ca="1" si="11"/>
        <v>showifcell=molnify!$X$16;showifvaluenot=Off</v>
      </c>
      <c r="AG16" s="5" t="s">
        <v>84</v>
      </c>
      <c r="AH16" s="40">
        <v>0</v>
      </c>
      <c r="AI16" s="28" t="str">
        <f t="shared" ca="1" si="12"/>
        <v>showifcell=molnify!$X$16;showifvaluenot=Off</v>
      </c>
      <c r="AJ16" s="105" t="str">
        <f t="shared" si="13"/>
        <v/>
      </c>
      <c r="AK16" s="105" t="str">
        <f t="shared" si="14"/>
        <v/>
      </c>
      <c r="AL16" s="72" t="str">
        <f t="shared" si="15"/>
        <v/>
      </c>
      <c r="AM16" s="72" t="str">
        <f t="shared" si="16"/>
        <v/>
      </c>
      <c r="AN16" s="106" t="str">
        <f t="shared" si="17"/>
        <v/>
      </c>
      <c r="AO16" s="73" t="str">
        <f t="shared" si="18"/>
        <v/>
      </c>
      <c r="AP16" s="73" t="str">
        <f t="shared" si="19"/>
        <v/>
      </c>
      <c r="AQ16" s="106" t="str">
        <f t="shared" si="20"/>
        <v/>
      </c>
      <c r="AR16" s="110" t="str">
        <f t="shared" si="21"/>
        <v/>
      </c>
      <c r="AS16" s="110" t="str">
        <f t="shared" si="22"/>
        <v/>
      </c>
      <c r="AT16" s="85" t="s">
        <v>463</v>
      </c>
      <c r="AU16" s="103">
        <v>0.25</v>
      </c>
      <c r="AV16" s="26" t="str">
        <f t="shared" ca="1" si="23"/>
        <v>showifcell=molnify!$D$16;showifvaluenot=Pick product;resetWhenHidden</v>
      </c>
      <c r="AW16" s="74" t="str">
        <f>IF(G16="","",VLOOKUP(BH16,products!$B$3:$G$84,3,0))</f>
        <v/>
      </c>
      <c r="AX16" s="107" t="str">
        <f t="shared" si="24"/>
        <v/>
      </c>
      <c r="AY16" s="107" t="str">
        <f t="shared" si="25"/>
        <v/>
      </c>
      <c r="AZ16" s="77" t="s">
        <v>37</v>
      </c>
      <c r="BA16" s="35"/>
      <c r="BB16" s="1" t="str">
        <f t="shared" ca="1" si="26"/>
        <v>textarea;showifcell=molnify!$D$16;showifvaluenot=Pick product</v>
      </c>
      <c r="BC16" s="75" t="s">
        <v>532</v>
      </c>
      <c r="BE16" s="43"/>
      <c r="BF16" s="1"/>
      <c r="BH16" s="108" t="str">
        <f t="shared" si="45"/>
        <v/>
      </c>
      <c r="BI16" s="108" t="str">
        <f t="shared" si="27"/>
        <v/>
      </c>
      <c r="BJ16" s="108" t="str">
        <f t="shared" si="28"/>
        <v/>
      </c>
      <c r="BK16" s="108" t="str">
        <f t="shared" si="29"/>
        <v/>
      </c>
      <c r="BL16" s="108" t="str">
        <f t="shared" si="30"/>
        <v/>
      </c>
      <c r="BM16" s="108" t="str">
        <f t="shared" si="46"/>
        <v/>
      </c>
      <c r="BN16" s="108" t="str">
        <f t="shared" si="47"/>
        <v/>
      </c>
      <c r="BO16" s="108" t="str">
        <f t="shared" si="31"/>
        <v/>
      </c>
      <c r="BP16" s="109" t="str">
        <f t="shared" si="32"/>
        <v/>
      </c>
      <c r="BQ16" s="108" t="str">
        <f t="shared" si="33"/>
        <v/>
      </c>
      <c r="BR16" s="108" t="str">
        <f t="shared" si="34"/>
        <v/>
      </c>
      <c r="BS16" s="108" t="str">
        <f t="shared" si="35"/>
        <v/>
      </c>
      <c r="BT16" s="108" t="str">
        <f t="shared" si="36"/>
        <v/>
      </c>
      <c r="BU16" s="108" t="str">
        <f t="shared" si="37"/>
        <v/>
      </c>
      <c r="BV16" s="108" t="str">
        <f t="shared" si="38"/>
        <v/>
      </c>
      <c r="BW16" s="108" t="str">
        <f t="shared" si="39"/>
        <v/>
      </c>
      <c r="BX16" s="108" t="str">
        <f t="shared" si="40"/>
        <v/>
      </c>
      <c r="BY16" s="108" t="str">
        <f t="shared" si="41"/>
        <v/>
      </c>
    </row>
    <row r="17" spans="3:70" s="70" customFormat="1" ht="15.75" customHeight="1">
      <c r="C17" s="93"/>
      <c r="G17" s="33"/>
      <c r="H17" s="98"/>
      <c r="I17" s="98"/>
      <c r="K17" s="93"/>
      <c r="O17" s="93"/>
      <c r="AU17" s="104"/>
    </row>
    <row r="18" spans="3:70" ht="15.75" customHeight="1">
      <c r="G18" s="33"/>
      <c r="AJ18" s="80" t="s">
        <v>462</v>
      </c>
      <c r="AK18" s="79">
        <f>SUM(AK7:AK16)</f>
        <v>0</v>
      </c>
      <c r="AM18" s="80" t="s">
        <v>461</v>
      </c>
      <c r="AN18" s="79">
        <f>SUM(AN7:AN16)</f>
        <v>0</v>
      </c>
      <c r="AP18" s="80" t="s">
        <v>456</v>
      </c>
      <c r="AQ18" s="79">
        <f>SUM(AQ7:AQ16)</f>
        <v>0</v>
      </c>
      <c r="AW18" s="80" t="s">
        <v>465</v>
      </c>
      <c r="AX18" s="79">
        <f>SUM(AX7:AX16)</f>
        <v>0</v>
      </c>
      <c r="BG18" s="43" t="s">
        <v>531</v>
      </c>
      <c r="BH18" s="43" t="s">
        <v>525</v>
      </c>
      <c r="BI18" s="43" t="s">
        <v>76</v>
      </c>
      <c r="BJ18" s="43" t="s">
        <v>540</v>
      </c>
      <c r="BK18" s="43" t="s">
        <v>541</v>
      </c>
      <c r="BL18" s="43" t="s">
        <v>73</v>
      </c>
      <c r="BM18" s="43" t="s">
        <v>543</v>
      </c>
      <c r="BN18" s="43" t="s">
        <v>530</v>
      </c>
      <c r="BO18" s="43" t="s">
        <v>542</v>
      </c>
      <c r="BP18" s="43" t="s">
        <v>71</v>
      </c>
      <c r="BQ18" s="43" t="s">
        <v>471</v>
      </c>
      <c r="BR18" s="43" t="s">
        <v>78</v>
      </c>
    </row>
    <row r="19" spans="3:70" ht="15.75" customHeight="1" thickBot="1">
      <c r="G19" s="33"/>
      <c r="AQ19" s="43" t="s">
        <v>529</v>
      </c>
      <c r="AR19" s="111">
        <f>SUM(AR7:AR16)</f>
        <v>0</v>
      </c>
      <c r="AX19" s="43" t="s">
        <v>471</v>
      </c>
      <c r="AY19" s="86">
        <f>SUM(AY7:AY16)</f>
        <v>0</v>
      </c>
      <c r="BH19" s="142" t="str">
        <f>IF(LEN(I7),"&lt;img src=""" &amp; I7 &amp; """ style=""height: 50px; width: auto; float: right; margin-right: 15px""&gt;","")</f>
        <v/>
      </c>
      <c r="BI19" s="112" t="str">
        <f t="shared" ref="BI19:BI28" si="48">BH7</f>
        <v/>
      </c>
      <c r="BJ19" s="115" t="str">
        <f t="shared" ref="BJ19:BJ28" si="49">BJ7</f>
        <v/>
      </c>
      <c r="BK19" s="115" t="str">
        <f t="shared" ref="BK19:BK28" si="50">BI7</f>
        <v/>
      </c>
      <c r="BL19" s="112" t="str">
        <f t="shared" ref="BL19:BL28" si="51">S7</f>
        <v/>
      </c>
      <c r="BM19" s="115" t="str">
        <f t="shared" ref="BM19:BM28" si="52">IF(LEN(AK7),"€ " &amp; TEXT(AK7,"## ###.00"),"")</f>
        <v/>
      </c>
      <c r="BN19" s="112" t="str">
        <f t="shared" ref="BN19:BN28" si="53">IF(LEN(BK7),BK7,IF(LEN(BP7),BP7,""))</f>
        <v/>
      </c>
      <c r="BO19" s="112" t="str">
        <f t="shared" ref="BO19:BO28" si="54">BQ7</f>
        <v/>
      </c>
      <c r="BP19" s="112" t="str">
        <f t="shared" ref="BP19:BP28" si="55">BT7</f>
        <v/>
      </c>
      <c r="BQ19" s="112" t="str">
        <f t="shared" ref="BQ19:BQ28" si="56">BW7 &amp; IF(LEN(BU7)," (" &amp; BU7 &amp; " VAT)","")</f>
        <v/>
      </c>
    </row>
    <row r="20" spans="3:70" ht="15.75" customHeight="1">
      <c r="G20" s="33"/>
      <c r="Z20" s="81" t="s">
        <v>450</v>
      </c>
      <c r="BH20" s="142" t="str">
        <f t="shared" ref="BH20:BH28" si="57">IF(LEN(I8),"&lt;img src=""" &amp; I8 &amp; """ style=""height: 50px; width: auto; float: right; margin-right: 15px""&gt;","")</f>
        <v/>
      </c>
      <c r="BI20" s="112" t="str">
        <f t="shared" si="48"/>
        <v/>
      </c>
      <c r="BJ20" s="115" t="str">
        <f t="shared" si="49"/>
        <v/>
      </c>
      <c r="BK20" s="115" t="str">
        <f t="shared" si="50"/>
        <v/>
      </c>
      <c r="BL20" s="112" t="str">
        <f t="shared" si="51"/>
        <v/>
      </c>
      <c r="BM20" s="115" t="str">
        <f t="shared" si="52"/>
        <v/>
      </c>
      <c r="BN20" s="112" t="str">
        <f t="shared" si="53"/>
        <v/>
      </c>
      <c r="BO20" s="112" t="str">
        <f t="shared" si="54"/>
        <v/>
      </c>
      <c r="BP20" s="112" t="str">
        <f t="shared" si="55"/>
        <v/>
      </c>
      <c r="BQ20" s="112" t="str">
        <f t="shared" si="56"/>
        <v/>
      </c>
    </row>
    <row r="21" spans="3:70" ht="15.75" customHeight="1">
      <c r="D21" s="192" t="s">
        <v>571</v>
      </c>
      <c r="E21" s="192"/>
      <c r="F21" s="192"/>
      <c r="G21" s="192"/>
      <c r="H21" s="192"/>
      <c r="I21" s="192"/>
      <c r="J21" s="192"/>
      <c r="K21" s="192"/>
      <c r="L21" s="192"/>
      <c r="M21" s="192"/>
      <c r="N21" s="192"/>
      <c r="O21" s="192"/>
      <c r="P21" s="192"/>
      <c r="Q21" s="192"/>
      <c r="Z21" s="82" t="s">
        <v>447</v>
      </c>
      <c r="BH21" s="142" t="str">
        <f t="shared" si="57"/>
        <v/>
      </c>
      <c r="BI21" s="112" t="str">
        <f t="shared" si="48"/>
        <v/>
      </c>
      <c r="BJ21" s="115" t="str">
        <f t="shared" si="49"/>
        <v/>
      </c>
      <c r="BK21" s="115" t="str">
        <f t="shared" si="50"/>
        <v/>
      </c>
      <c r="BL21" s="112" t="str">
        <f t="shared" si="51"/>
        <v/>
      </c>
      <c r="BM21" s="115" t="str">
        <f t="shared" si="52"/>
        <v/>
      </c>
      <c r="BN21" s="112" t="str">
        <f t="shared" si="53"/>
        <v/>
      </c>
      <c r="BO21" s="112" t="str">
        <f t="shared" si="54"/>
        <v/>
      </c>
      <c r="BP21" s="112" t="str">
        <f t="shared" si="55"/>
        <v/>
      </c>
      <c r="BQ21" s="112" t="str">
        <f t="shared" si="56"/>
        <v/>
      </c>
    </row>
    <row r="22" spans="3:70" ht="15.75" customHeight="1">
      <c r="D22" s="192"/>
      <c r="E22" s="192"/>
      <c r="F22" s="192"/>
      <c r="G22" s="192"/>
      <c r="H22" s="192"/>
      <c r="I22" s="192"/>
      <c r="J22" s="192"/>
      <c r="K22" s="192"/>
      <c r="L22" s="192"/>
      <c r="M22" s="192"/>
      <c r="N22" s="192"/>
      <c r="O22" s="192"/>
      <c r="P22" s="192"/>
      <c r="Q22" s="192"/>
      <c r="Z22" s="82" t="s">
        <v>448</v>
      </c>
      <c r="BH22" s="142" t="str">
        <f t="shared" si="57"/>
        <v/>
      </c>
      <c r="BI22" s="112" t="str">
        <f t="shared" si="48"/>
        <v/>
      </c>
      <c r="BJ22" s="115" t="str">
        <f t="shared" si="49"/>
        <v/>
      </c>
      <c r="BK22" s="115" t="str">
        <f t="shared" si="50"/>
        <v/>
      </c>
      <c r="BL22" s="112" t="str">
        <f t="shared" si="51"/>
        <v/>
      </c>
      <c r="BM22" s="115" t="str">
        <f t="shared" si="52"/>
        <v/>
      </c>
      <c r="BN22" s="112" t="str">
        <f t="shared" si="53"/>
        <v/>
      </c>
      <c r="BO22" s="112" t="str">
        <f t="shared" si="54"/>
        <v/>
      </c>
      <c r="BP22" s="112" t="str">
        <f t="shared" si="55"/>
        <v/>
      </c>
      <c r="BQ22" s="112" t="str">
        <f t="shared" si="56"/>
        <v/>
      </c>
    </row>
    <row r="23" spans="3:70" ht="15.75" customHeight="1" thickBot="1">
      <c r="D23" s="192"/>
      <c r="E23" s="192"/>
      <c r="F23" s="192"/>
      <c r="G23" s="192"/>
      <c r="H23" s="192"/>
      <c r="I23" s="192"/>
      <c r="J23" s="192"/>
      <c r="K23" s="192"/>
      <c r="L23" s="192"/>
      <c r="M23" s="192"/>
      <c r="N23" s="192"/>
      <c r="O23" s="192"/>
      <c r="P23" s="192"/>
      <c r="Q23" s="192"/>
      <c r="Z23" s="83" t="s">
        <v>449</v>
      </c>
      <c r="BH23" s="142" t="str">
        <f t="shared" si="57"/>
        <v/>
      </c>
      <c r="BI23" s="112" t="str">
        <f t="shared" si="48"/>
        <v/>
      </c>
      <c r="BJ23" s="115" t="str">
        <f t="shared" si="49"/>
        <v/>
      </c>
      <c r="BK23" s="115" t="str">
        <f t="shared" si="50"/>
        <v/>
      </c>
      <c r="BL23" s="112" t="str">
        <f t="shared" si="51"/>
        <v/>
      </c>
      <c r="BM23" s="115" t="str">
        <f t="shared" si="52"/>
        <v/>
      </c>
      <c r="BN23" s="112" t="str">
        <f t="shared" si="53"/>
        <v/>
      </c>
      <c r="BO23" s="112" t="str">
        <f t="shared" si="54"/>
        <v/>
      </c>
      <c r="BP23" s="112" t="str">
        <f t="shared" si="55"/>
        <v/>
      </c>
      <c r="BQ23" s="112" t="str">
        <f t="shared" si="56"/>
        <v/>
      </c>
    </row>
    <row r="24" spans="3:70" ht="15.75" customHeight="1">
      <c r="D24" s="192"/>
      <c r="E24" s="192"/>
      <c r="F24" s="192"/>
      <c r="G24" s="192"/>
      <c r="H24" s="192"/>
      <c r="I24" s="192"/>
      <c r="J24" s="192"/>
      <c r="K24" s="192"/>
      <c r="L24" s="192"/>
      <c r="M24" s="192"/>
      <c r="N24" s="192"/>
      <c r="O24" s="192"/>
      <c r="P24" s="192"/>
      <c r="Q24" s="192"/>
      <c r="BH24" s="142" t="str">
        <f t="shared" si="57"/>
        <v/>
      </c>
      <c r="BI24" s="112" t="str">
        <f t="shared" si="48"/>
        <v/>
      </c>
      <c r="BJ24" s="115" t="str">
        <f t="shared" si="49"/>
        <v/>
      </c>
      <c r="BK24" s="115" t="str">
        <f t="shared" si="50"/>
        <v/>
      </c>
      <c r="BL24" s="112" t="str">
        <f t="shared" si="51"/>
        <v/>
      </c>
      <c r="BM24" s="115" t="str">
        <f t="shared" si="52"/>
        <v/>
      </c>
      <c r="BN24" s="112" t="str">
        <f t="shared" si="53"/>
        <v/>
      </c>
      <c r="BO24" s="112" t="str">
        <f t="shared" si="54"/>
        <v/>
      </c>
      <c r="BP24" s="112" t="str">
        <f t="shared" si="55"/>
        <v/>
      </c>
      <c r="BQ24" s="112" t="str">
        <f t="shared" si="56"/>
        <v/>
      </c>
    </row>
    <row r="25" spans="3:70" ht="15.75" customHeight="1">
      <c r="D25" s="192"/>
      <c r="E25" s="192"/>
      <c r="F25" s="192"/>
      <c r="G25" s="192"/>
      <c r="H25" s="192"/>
      <c r="I25" s="192"/>
      <c r="J25" s="192"/>
      <c r="K25" s="192"/>
      <c r="L25" s="192"/>
      <c r="M25" s="192"/>
      <c r="N25" s="192"/>
      <c r="O25" s="192"/>
      <c r="P25" s="192"/>
      <c r="Q25" s="192"/>
      <c r="BH25" s="142" t="str">
        <f t="shared" si="57"/>
        <v/>
      </c>
      <c r="BI25" s="112" t="str">
        <f t="shared" si="48"/>
        <v/>
      </c>
      <c r="BJ25" s="115" t="str">
        <f t="shared" si="49"/>
        <v/>
      </c>
      <c r="BK25" s="115" t="str">
        <f t="shared" si="50"/>
        <v/>
      </c>
      <c r="BL25" s="112" t="str">
        <f t="shared" si="51"/>
        <v/>
      </c>
      <c r="BM25" s="115" t="str">
        <f t="shared" si="52"/>
        <v/>
      </c>
      <c r="BN25" s="112" t="str">
        <f t="shared" si="53"/>
        <v/>
      </c>
      <c r="BO25" s="112" t="str">
        <f t="shared" si="54"/>
        <v/>
      </c>
      <c r="BP25" s="112" t="str">
        <f t="shared" si="55"/>
        <v/>
      </c>
      <c r="BQ25" s="112" t="str">
        <f t="shared" si="56"/>
        <v/>
      </c>
    </row>
    <row r="26" spans="3:70" ht="15.75" customHeight="1">
      <c r="D26" s="192"/>
      <c r="E26" s="192"/>
      <c r="F26" s="192"/>
      <c r="G26" s="192"/>
      <c r="H26" s="192"/>
      <c r="I26" s="192"/>
      <c r="J26" s="192"/>
      <c r="K26" s="192"/>
      <c r="L26" s="192"/>
      <c r="M26" s="192"/>
      <c r="N26" s="192"/>
      <c r="O26" s="192"/>
      <c r="P26" s="192"/>
      <c r="Q26" s="192"/>
      <c r="BH26" s="142" t="str">
        <f t="shared" si="57"/>
        <v/>
      </c>
      <c r="BI26" s="112" t="str">
        <f t="shared" si="48"/>
        <v/>
      </c>
      <c r="BJ26" s="115" t="str">
        <f t="shared" si="49"/>
        <v/>
      </c>
      <c r="BK26" s="115" t="str">
        <f t="shared" si="50"/>
        <v/>
      </c>
      <c r="BL26" s="112" t="str">
        <f t="shared" si="51"/>
        <v/>
      </c>
      <c r="BM26" s="115" t="str">
        <f t="shared" si="52"/>
        <v/>
      </c>
      <c r="BN26" s="112" t="str">
        <f t="shared" si="53"/>
        <v/>
      </c>
      <c r="BO26" s="112" t="str">
        <f t="shared" si="54"/>
        <v/>
      </c>
      <c r="BP26" s="112" t="str">
        <f t="shared" si="55"/>
        <v/>
      </c>
      <c r="BQ26" s="112" t="str">
        <f t="shared" si="56"/>
        <v/>
      </c>
    </row>
    <row r="27" spans="3:70" ht="15.75" customHeight="1">
      <c r="D27" s="192"/>
      <c r="E27" s="192"/>
      <c r="F27" s="192"/>
      <c r="G27" s="192"/>
      <c r="H27" s="192"/>
      <c r="I27" s="192"/>
      <c r="J27" s="192"/>
      <c r="K27" s="192"/>
      <c r="L27" s="192"/>
      <c r="M27" s="192"/>
      <c r="N27" s="192"/>
      <c r="O27" s="192"/>
      <c r="P27" s="192"/>
      <c r="Q27" s="192"/>
      <c r="BH27" s="142" t="str">
        <f t="shared" si="57"/>
        <v/>
      </c>
      <c r="BI27" s="112" t="str">
        <f t="shared" si="48"/>
        <v/>
      </c>
      <c r="BJ27" s="115" t="str">
        <f t="shared" si="49"/>
        <v/>
      </c>
      <c r="BK27" s="115" t="str">
        <f t="shared" si="50"/>
        <v/>
      </c>
      <c r="BL27" s="112" t="str">
        <f t="shared" si="51"/>
        <v/>
      </c>
      <c r="BM27" s="115" t="str">
        <f t="shared" si="52"/>
        <v/>
      </c>
      <c r="BN27" s="112" t="str">
        <f t="shared" si="53"/>
        <v/>
      </c>
      <c r="BO27" s="112" t="str">
        <f t="shared" si="54"/>
        <v/>
      </c>
      <c r="BP27" s="112" t="str">
        <f t="shared" si="55"/>
        <v/>
      </c>
      <c r="BQ27" s="112" t="str">
        <f t="shared" si="56"/>
        <v/>
      </c>
    </row>
    <row r="28" spans="3:70" ht="15.75" customHeight="1">
      <c r="D28" s="192"/>
      <c r="E28" s="192"/>
      <c r="F28" s="192"/>
      <c r="G28" s="192"/>
      <c r="H28" s="192"/>
      <c r="I28" s="192"/>
      <c r="J28" s="192"/>
      <c r="K28" s="192"/>
      <c r="L28" s="192"/>
      <c r="M28" s="192"/>
      <c r="N28" s="192"/>
      <c r="O28" s="192"/>
      <c r="P28" s="192"/>
      <c r="Q28" s="192"/>
      <c r="BA28" s="99"/>
      <c r="BB28" s="99"/>
      <c r="BC28" s="99"/>
      <c r="BD28" s="99"/>
      <c r="BE28" s="99"/>
      <c r="BH28" s="142" t="str">
        <f t="shared" si="57"/>
        <v/>
      </c>
      <c r="BI28" s="112" t="str">
        <f t="shared" si="48"/>
        <v/>
      </c>
      <c r="BJ28" s="115" t="str">
        <f t="shared" si="49"/>
        <v/>
      </c>
      <c r="BK28" s="115" t="str">
        <f t="shared" si="50"/>
        <v/>
      </c>
      <c r="BL28" s="112" t="str">
        <f t="shared" si="51"/>
        <v/>
      </c>
      <c r="BM28" s="115" t="str">
        <f t="shared" si="52"/>
        <v/>
      </c>
      <c r="BN28" s="112" t="str">
        <f t="shared" si="53"/>
        <v/>
      </c>
      <c r="BO28" s="112" t="str">
        <f t="shared" si="54"/>
        <v/>
      </c>
      <c r="BP28" s="112" t="str">
        <f t="shared" si="55"/>
        <v/>
      </c>
      <c r="BQ28" s="112" t="str">
        <f t="shared" si="56"/>
        <v/>
      </c>
    </row>
    <row r="29" spans="3:70" ht="15.75" customHeight="1">
      <c r="BA29" s="99"/>
      <c r="BB29" s="99"/>
      <c r="BC29" s="99"/>
      <c r="BD29" s="99"/>
      <c r="BE29" s="99"/>
    </row>
    <row r="30" spans="3:70" ht="15.75" customHeight="1">
      <c r="BA30" s="99"/>
      <c r="BB30" s="99"/>
      <c r="BC30" s="99"/>
      <c r="BD30" s="99"/>
      <c r="BE30" s="99"/>
    </row>
    <row r="31" spans="3:70" ht="15.75" customHeight="1">
      <c r="BA31" s="99"/>
      <c r="BB31" s="99"/>
      <c r="BC31" s="99"/>
      <c r="BD31" s="99"/>
      <c r="BE31" s="99"/>
    </row>
    <row r="32" spans="3:70" ht="15.75" customHeight="1">
      <c r="BA32" s="99"/>
      <c r="BB32" s="99"/>
      <c r="BC32" s="99"/>
      <c r="BD32" s="99"/>
      <c r="BE32" s="99"/>
    </row>
    <row r="33" spans="9:75" ht="15.75" customHeight="1">
      <c r="BA33" s="99"/>
      <c r="BB33" s="99"/>
      <c r="BC33" s="99"/>
      <c r="BD33" s="99"/>
      <c r="BE33" s="99"/>
    </row>
    <row r="34" spans="9:75" ht="15.75" customHeight="1">
      <c r="BC34" s="99"/>
      <c r="BD34" s="99"/>
      <c r="BE34" s="99"/>
    </row>
    <row r="35" spans="9:75" ht="15.75" customHeight="1">
      <c r="I35" s="148"/>
      <c r="BC35" s="99"/>
      <c r="BD35" s="99"/>
      <c r="BE35" s="99"/>
    </row>
    <row r="36" spans="9:75" ht="15.75" customHeight="1">
      <c r="I36" s="148">
        <v>44563</v>
      </c>
      <c r="BC36" s="99"/>
      <c r="BD36" s="99"/>
      <c r="BE36" s="99"/>
    </row>
    <row r="37" spans="9:75" ht="15.75" customHeight="1">
      <c r="BC37" s="99"/>
      <c r="BD37" s="99"/>
      <c r="BE37" s="99"/>
      <c r="BH37" s="60" t="s">
        <v>457</v>
      </c>
      <c r="BI37" s="58" t="s">
        <v>64</v>
      </c>
      <c r="BJ37" s="60" t="s">
        <v>458</v>
      </c>
      <c r="BK37" s="60" t="s">
        <v>534</v>
      </c>
      <c r="BL37" s="60" t="s">
        <v>535</v>
      </c>
      <c r="BM37" s="60" t="s">
        <v>459</v>
      </c>
      <c r="BN37" s="60" t="s">
        <v>538</v>
      </c>
      <c r="BO37" s="60" t="s">
        <v>537</v>
      </c>
      <c r="BP37" s="60" t="s">
        <v>536</v>
      </c>
      <c r="BQ37" s="60" t="s">
        <v>468</v>
      </c>
      <c r="BR37" s="60" t="s">
        <v>469</v>
      </c>
      <c r="BS37" s="60" t="s">
        <v>539</v>
      </c>
      <c r="BT37" s="60" t="s">
        <v>460</v>
      </c>
      <c r="BU37" s="60" t="s">
        <v>501</v>
      </c>
      <c r="BW37" s="44" t="s">
        <v>581</v>
      </c>
    </row>
    <row r="38" spans="9:75" ht="15.75" customHeight="1">
      <c r="BH38" s="61" t="str">
        <f t="shared" ref="BH38:BH47" si="58">IF(AND(LEN(BH7)&gt;0,show_ids),ROW(BH7)-ROW($BH$6),"")</f>
        <v/>
      </c>
      <c r="BI38" s="59" t="str">
        <f t="shared" ref="BI38:BI47" si="59">BH7</f>
        <v/>
      </c>
      <c r="BJ38" s="59" t="str">
        <f t="shared" ref="BJ38:BL47" si="60">BJ7</f>
        <v/>
      </c>
      <c r="BK38" s="59" t="str">
        <f t="shared" si="60"/>
        <v/>
      </c>
      <c r="BL38" s="59" t="str">
        <f t="shared" si="60"/>
        <v/>
      </c>
      <c r="BM38" s="113" t="str">
        <f t="shared" ref="BM38:BM47" si="61">S7</f>
        <v/>
      </c>
      <c r="BN38" s="59" t="str">
        <f t="shared" ref="BN38:BP47" si="62">BO7</f>
        <v/>
      </c>
      <c r="BO38" s="78" t="str">
        <f t="shared" si="62"/>
        <v/>
      </c>
      <c r="BP38" s="59" t="str">
        <f t="shared" si="62"/>
        <v/>
      </c>
      <c r="BQ38" s="59" t="str">
        <f t="shared" ref="BQ38:BQ47" si="63">BU7</f>
        <v/>
      </c>
      <c r="BR38" s="61" t="str">
        <f t="shared" ref="BR38:BR47" si="64">BV7</f>
        <v/>
      </c>
      <c r="BS38" s="61" t="str">
        <f t="shared" ref="BS38:BS47" si="65">BW7</f>
        <v/>
      </c>
      <c r="BT38" s="61" t="str">
        <f t="shared" ref="BT38:BT47" si="66">BX7</f>
        <v/>
      </c>
      <c r="BU38" s="61" t="str">
        <f t="shared" ref="BU38:BU47" si="67">I7</f>
        <v/>
      </c>
    </row>
    <row r="39" spans="9:75" ht="15.75" customHeight="1">
      <c r="BH39" s="61" t="str">
        <f t="shared" si="58"/>
        <v/>
      </c>
      <c r="BI39" s="59" t="str">
        <f t="shared" si="59"/>
        <v/>
      </c>
      <c r="BJ39" s="59" t="str">
        <f t="shared" si="60"/>
        <v/>
      </c>
      <c r="BK39" s="59" t="str">
        <f t="shared" si="60"/>
        <v/>
      </c>
      <c r="BL39" s="59" t="str">
        <f t="shared" si="60"/>
        <v/>
      </c>
      <c r="BM39" s="59" t="str">
        <f t="shared" si="61"/>
        <v/>
      </c>
      <c r="BN39" s="59" t="str">
        <f t="shared" si="62"/>
        <v/>
      </c>
      <c r="BO39" s="78" t="str">
        <f t="shared" si="62"/>
        <v/>
      </c>
      <c r="BP39" s="59" t="str">
        <f t="shared" si="62"/>
        <v/>
      </c>
      <c r="BQ39" s="59" t="str">
        <f t="shared" si="63"/>
        <v/>
      </c>
      <c r="BR39" s="61" t="str">
        <f t="shared" si="64"/>
        <v/>
      </c>
      <c r="BS39" s="61" t="str">
        <f t="shared" si="65"/>
        <v/>
      </c>
      <c r="BT39" s="61" t="str">
        <f t="shared" si="66"/>
        <v/>
      </c>
      <c r="BU39" s="61" t="str">
        <f t="shared" si="67"/>
        <v/>
      </c>
    </row>
    <row r="40" spans="9:75" ht="15.75" customHeight="1">
      <c r="BH40" s="61" t="str">
        <f t="shared" si="58"/>
        <v/>
      </c>
      <c r="BI40" s="59" t="str">
        <f t="shared" si="59"/>
        <v/>
      </c>
      <c r="BJ40" s="59" t="str">
        <f t="shared" si="60"/>
        <v/>
      </c>
      <c r="BK40" s="59" t="str">
        <f t="shared" si="60"/>
        <v/>
      </c>
      <c r="BL40" s="59" t="str">
        <f t="shared" si="60"/>
        <v/>
      </c>
      <c r="BM40" s="59" t="str">
        <f t="shared" si="61"/>
        <v/>
      </c>
      <c r="BN40" s="59" t="str">
        <f t="shared" si="62"/>
        <v/>
      </c>
      <c r="BO40" s="78" t="str">
        <f t="shared" si="62"/>
        <v/>
      </c>
      <c r="BP40" s="59" t="str">
        <f t="shared" si="62"/>
        <v/>
      </c>
      <c r="BQ40" s="59" t="str">
        <f t="shared" si="63"/>
        <v/>
      </c>
      <c r="BR40" s="61" t="str">
        <f t="shared" si="64"/>
        <v/>
      </c>
      <c r="BS40" s="61" t="str">
        <f t="shared" si="65"/>
        <v/>
      </c>
      <c r="BT40" s="61" t="str">
        <f t="shared" si="66"/>
        <v/>
      </c>
      <c r="BU40" s="61" t="str">
        <f t="shared" si="67"/>
        <v/>
      </c>
    </row>
    <row r="41" spans="9:75" ht="15.75" customHeight="1">
      <c r="BH41" s="61" t="str">
        <f t="shared" si="58"/>
        <v/>
      </c>
      <c r="BI41" s="59" t="str">
        <f t="shared" si="59"/>
        <v/>
      </c>
      <c r="BJ41" s="59" t="str">
        <f t="shared" si="60"/>
        <v/>
      </c>
      <c r="BK41" s="59" t="str">
        <f t="shared" si="60"/>
        <v/>
      </c>
      <c r="BL41" s="59" t="str">
        <f t="shared" si="60"/>
        <v/>
      </c>
      <c r="BM41" s="59" t="str">
        <f t="shared" si="61"/>
        <v/>
      </c>
      <c r="BN41" s="59" t="str">
        <f t="shared" si="62"/>
        <v/>
      </c>
      <c r="BO41" s="78" t="str">
        <f t="shared" si="62"/>
        <v/>
      </c>
      <c r="BP41" s="59" t="str">
        <f t="shared" si="62"/>
        <v/>
      </c>
      <c r="BQ41" s="59" t="str">
        <f t="shared" si="63"/>
        <v/>
      </c>
      <c r="BR41" s="61" t="str">
        <f t="shared" si="64"/>
        <v/>
      </c>
      <c r="BS41" s="61" t="str">
        <f t="shared" si="65"/>
        <v/>
      </c>
      <c r="BT41" s="61" t="str">
        <f t="shared" si="66"/>
        <v/>
      </c>
      <c r="BU41" s="61" t="str">
        <f t="shared" si="67"/>
        <v/>
      </c>
    </row>
    <row r="42" spans="9:75" ht="15.75" customHeight="1">
      <c r="BH42" s="61" t="str">
        <f t="shared" si="58"/>
        <v/>
      </c>
      <c r="BI42" s="59" t="str">
        <f t="shared" si="59"/>
        <v/>
      </c>
      <c r="BJ42" s="59" t="str">
        <f t="shared" si="60"/>
        <v/>
      </c>
      <c r="BK42" s="59" t="str">
        <f t="shared" si="60"/>
        <v/>
      </c>
      <c r="BL42" s="59" t="str">
        <f t="shared" si="60"/>
        <v/>
      </c>
      <c r="BM42" s="59" t="str">
        <f t="shared" si="61"/>
        <v/>
      </c>
      <c r="BN42" s="59" t="str">
        <f t="shared" si="62"/>
        <v/>
      </c>
      <c r="BO42" s="78" t="str">
        <f t="shared" si="62"/>
        <v/>
      </c>
      <c r="BP42" s="59" t="str">
        <f t="shared" si="62"/>
        <v/>
      </c>
      <c r="BQ42" s="59" t="str">
        <f t="shared" si="63"/>
        <v/>
      </c>
      <c r="BR42" s="61" t="str">
        <f t="shared" si="64"/>
        <v/>
      </c>
      <c r="BS42" s="61" t="str">
        <f t="shared" si="65"/>
        <v/>
      </c>
      <c r="BT42" s="61" t="str">
        <f t="shared" si="66"/>
        <v/>
      </c>
      <c r="BU42" s="61" t="str">
        <f t="shared" si="67"/>
        <v/>
      </c>
    </row>
    <row r="43" spans="9:75" ht="15.75" customHeight="1">
      <c r="BH43" s="61" t="str">
        <f t="shared" si="58"/>
        <v/>
      </c>
      <c r="BI43" s="59" t="str">
        <f t="shared" si="59"/>
        <v/>
      </c>
      <c r="BJ43" s="59" t="str">
        <f t="shared" si="60"/>
        <v/>
      </c>
      <c r="BK43" s="59" t="str">
        <f t="shared" si="60"/>
        <v/>
      </c>
      <c r="BL43" s="59" t="str">
        <f t="shared" si="60"/>
        <v/>
      </c>
      <c r="BM43" s="59" t="str">
        <f t="shared" si="61"/>
        <v/>
      </c>
      <c r="BN43" s="59" t="str">
        <f t="shared" si="62"/>
        <v/>
      </c>
      <c r="BO43" s="78" t="str">
        <f t="shared" si="62"/>
        <v/>
      </c>
      <c r="BP43" s="59" t="str">
        <f t="shared" si="62"/>
        <v/>
      </c>
      <c r="BQ43" s="59" t="str">
        <f t="shared" si="63"/>
        <v/>
      </c>
      <c r="BR43" s="61" t="str">
        <f t="shared" si="64"/>
        <v/>
      </c>
      <c r="BS43" s="61" t="str">
        <f t="shared" si="65"/>
        <v/>
      </c>
      <c r="BT43" s="61" t="str">
        <f t="shared" si="66"/>
        <v/>
      </c>
      <c r="BU43" s="61" t="str">
        <f t="shared" si="67"/>
        <v/>
      </c>
    </row>
    <row r="44" spans="9:75" ht="15.75" customHeight="1">
      <c r="BH44" s="61" t="str">
        <f t="shared" si="58"/>
        <v/>
      </c>
      <c r="BI44" s="59" t="str">
        <f t="shared" si="59"/>
        <v/>
      </c>
      <c r="BJ44" s="59" t="str">
        <f t="shared" si="60"/>
        <v/>
      </c>
      <c r="BK44" s="59" t="str">
        <f t="shared" si="60"/>
        <v/>
      </c>
      <c r="BL44" s="59" t="str">
        <f t="shared" si="60"/>
        <v/>
      </c>
      <c r="BM44" s="59" t="str">
        <f t="shared" si="61"/>
        <v/>
      </c>
      <c r="BN44" s="59" t="str">
        <f t="shared" si="62"/>
        <v/>
      </c>
      <c r="BO44" s="78" t="str">
        <f t="shared" si="62"/>
        <v/>
      </c>
      <c r="BP44" s="59" t="str">
        <f t="shared" si="62"/>
        <v/>
      </c>
      <c r="BQ44" s="59" t="str">
        <f t="shared" si="63"/>
        <v/>
      </c>
      <c r="BR44" s="61" t="str">
        <f t="shared" si="64"/>
        <v/>
      </c>
      <c r="BS44" s="61" t="str">
        <f t="shared" si="65"/>
        <v/>
      </c>
      <c r="BT44" s="61" t="str">
        <f t="shared" si="66"/>
        <v/>
      </c>
      <c r="BU44" s="61" t="str">
        <f t="shared" si="67"/>
        <v/>
      </c>
    </row>
    <row r="45" spans="9:75" ht="15.75" customHeight="1">
      <c r="BH45" s="61" t="str">
        <f t="shared" si="58"/>
        <v/>
      </c>
      <c r="BI45" s="59" t="str">
        <f t="shared" si="59"/>
        <v/>
      </c>
      <c r="BJ45" s="59" t="str">
        <f t="shared" si="60"/>
        <v/>
      </c>
      <c r="BK45" s="59" t="str">
        <f t="shared" si="60"/>
        <v/>
      </c>
      <c r="BL45" s="59" t="str">
        <f t="shared" si="60"/>
        <v/>
      </c>
      <c r="BM45" s="59" t="str">
        <f t="shared" si="61"/>
        <v/>
      </c>
      <c r="BN45" s="59" t="str">
        <f t="shared" si="62"/>
        <v/>
      </c>
      <c r="BO45" s="78" t="str">
        <f t="shared" si="62"/>
        <v/>
      </c>
      <c r="BP45" s="59" t="str">
        <f t="shared" si="62"/>
        <v/>
      </c>
      <c r="BQ45" s="59" t="str">
        <f t="shared" si="63"/>
        <v/>
      </c>
      <c r="BR45" s="61" t="str">
        <f t="shared" si="64"/>
        <v/>
      </c>
      <c r="BS45" s="61" t="str">
        <f t="shared" si="65"/>
        <v/>
      </c>
      <c r="BT45" s="61" t="str">
        <f t="shared" si="66"/>
        <v/>
      </c>
      <c r="BU45" s="61" t="str">
        <f t="shared" si="67"/>
        <v/>
      </c>
    </row>
    <row r="46" spans="9:75" ht="15.75" customHeight="1">
      <c r="BH46" s="61" t="str">
        <f t="shared" si="58"/>
        <v/>
      </c>
      <c r="BI46" s="59" t="str">
        <f t="shared" si="59"/>
        <v/>
      </c>
      <c r="BJ46" s="59" t="str">
        <f t="shared" si="60"/>
        <v/>
      </c>
      <c r="BK46" s="59" t="str">
        <f t="shared" si="60"/>
        <v/>
      </c>
      <c r="BL46" s="59" t="str">
        <f t="shared" si="60"/>
        <v/>
      </c>
      <c r="BM46" s="59" t="str">
        <f t="shared" si="61"/>
        <v/>
      </c>
      <c r="BN46" s="59" t="str">
        <f t="shared" si="62"/>
        <v/>
      </c>
      <c r="BO46" s="78" t="str">
        <f t="shared" si="62"/>
        <v/>
      </c>
      <c r="BP46" s="59" t="str">
        <f t="shared" si="62"/>
        <v/>
      </c>
      <c r="BQ46" s="59" t="str">
        <f t="shared" si="63"/>
        <v/>
      </c>
      <c r="BR46" s="61" t="str">
        <f t="shared" si="64"/>
        <v/>
      </c>
      <c r="BS46" s="61" t="str">
        <f t="shared" si="65"/>
        <v/>
      </c>
      <c r="BT46" s="61" t="str">
        <f t="shared" si="66"/>
        <v/>
      </c>
      <c r="BU46" s="61" t="str">
        <f t="shared" si="67"/>
        <v/>
      </c>
    </row>
    <row r="47" spans="9:75" ht="15.75" customHeight="1">
      <c r="BH47" s="61" t="str">
        <f t="shared" si="58"/>
        <v/>
      </c>
      <c r="BI47" s="59" t="str">
        <f t="shared" si="59"/>
        <v/>
      </c>
      <c r="BJ47" s="59" t="str">
        <f t="shared" si="60"/>
        <v/>
      </c>
      <c r="BK47" s="59" t="str">
        <f t="shared" si="60"/>
        <v/>
      </c>
      <c r="BL47" s="59" t="str">
        <f t="shared" si="60"/>
        <v/>
      </c>
      <c r="BM47" s="59" t="str">
        <f t="shared" si="61"/>
        <v/>
      </c>
      <c r="BN47" s="59" t="str">
        <f t="shared" si="62"/>
        <v/>
      </c>
      <c r="BO47" s="78" t="str">
        <f t="shared" si="62"/>
        <v/>
      </c>
      <c r="BP47" s="59" t="str">
        <f t="shared" si="62"/>
        <v/>
      </c>
      <c r="BQ47" s="59" t="str">
        <f t="shared" si="63"/>
        <v/>
      </c>
      <c r="BR47" s="61" t="str">
        <f t="shared" si="64"/>
        <v/>
      </c>
      <c r="BS47" s="61" t="str">
        <f t="shared" si="65"/>
        <v/>
      </c>
      <c r="BT47" s="61" t="str">
        <f t="shared" si="66"/>
        <v/>
      </c>
      <c r="BU47" s="61" t="str">
        <f t="shared" si="67"/>
        <v/>
      </c>
    </row>
  </sheetData>
  <mergeCells count="1">
    <mergeCell ref="D21:Q28"/>
  </mergeCells>
  <phoneticPr fontId="25" type="noConversion"/>
  <dataValidations count="2">
    <dataValidation type="list" allowBlank="1" sqref="D7:D16" xr:uid="{00000000-0002-0000-0400-000000000000}">
      <formula1>products</formula1>
    </dataValidation>
    <dataValidation type="list" allowBlank="1" showInputMessage="1" showErrorMessage="1" sqref="X7:X16" xr:uid="{B9D7A168-23D0-2F45-83BD-0AC6CE90C7A9}">
      <formula1>discount_types</formula1>
    </dataValidation>
  </dataValidations>
  <pageMargins left="0.7" right="0.7" top="0.75" bottom="0.75" header="0.3" footer="0.3"/>
  <legacyDrawing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B1:O353"/>
  <sheetViews>
    <sheetView workbookViewId="0">
      <selection activeCell="I22" sqref="I22"/>
    </sheetView>
  </sheetViews>
  <sheetFormatPr baseColWidth="10" defaultColWidth="12.6640625" defaultRowHeight="15.75" customHeight="1"/>
  <cols>
    <col min="3" max="3" width="33.5" customWidth="1"/>
    <col min="6" max="6" width="26" customWidth="1"/>
    <col min="8" max="8" width="44.1640625" customWidth="1"/>
  </cols>
  <sheetData>
    <row r="1" spans="2:15" ht="15.75" customHeight="1" thickBot="1"/>
    <row r="2" spans="2:15" ht="15.75" customHeight="1" thickBot="1">
      <c r="B2" s="69" t="s">
        <v>79</v>
      </c>
      <c r="C2" s="25" t="s">
        <v>85</v>
      </c>
      <c r="D2" s="25" t="s">
        <v>77</v>
      </c>
      <c r="E2" s="25" t="s">
        <v>72</v>
      </c>
      <c r="F2" s="25" t="s">
        <v>86</v>
      </c>
      <c r="G2" s="25" t="s">
        <v>87</v>
      </c>
      <c r="H2" s="25" t="s">
        <v>88</v>
      </c>
    </row>
    <row r="3" spans="2:15" ht="15.75" customHeight="1" thickBot="1">
      <c r="B3" s="5" t="s">
        <v>89</v>
      </c>
      <c r="C3" s="5" t="s">
        <v>90</v>
      </c>
      <c r="D3" s="29">
        <v>32.56</v>
      </c>
      <c r="E3" s="29">
        <v>88</v>
      </c>
      <c r="F3" s="5" t="s">
        <v>91</v>
      </c>
      <c r="G3" s="5" t="s">
        <v>92</v>
      </c>
      <c r="H3" s="30" t="s">
        <v>93</v>
      </c>
    </row>
    <row r="4" spans="2:15" ht="15.75" customHeight="1">
      <c r="B4" s="5" t="s">
        <v>94</v>
      </c>
      <c r="C4" s="5" t="s">
        <v>95</v>
      </c>
      <c r="D4" s="29">
        <v>31.36</v>
      </c>
      <c r="E4" s="29">
        <v>112</v>
      </c>
      <c r="F4" s="5" t="s">
        <v>96</v>
      </c>
      <c r="G4" s="5" t="s">
        <v>97</v>
      </c>
      <c r="H4" s="30" t="s">
        <v>98</v>
      </c>
      <c r="K4" s="182" t="s">
        <v>572</v>
      </c>
      <c r="L4" s="183"/>
      <c r="M4" s="183"/>
      <c r="N4" s="183"/>
      <c r="O4" s="184"/>
    </row>
    <row r="5" spans="2:15" ht="15.75" customHeight="1">
      <c r="B5" s="5" t="s">
        <v>99</v>
      </c>
      <c r="C5" s="5" t="s">
        <v>100</v>
      </c>
      <c r="D5" s="29">
        <v>43.89</v>
      </c>
      <c r="E5" s="29">
        <v>209</v>
      </c>
      <c r="F5" s="5" t="s">
        <v>101</v>
      </c>
      <c r="G5" s="5" t="s">
        <v>102</v>
      </c>
      <c r="H5" s="30" t="s">
        <v>103</v>
      </c>
      <c r="K5" s="185"/>
      <c r="L5" s="186"/>
      <c r="M5" s="186"/>
      <c r="N5" s="186"/>
      <c r="O5" s="187"/>
    </row>
    <row r="6" spans="2:15" ht="15.75" customHeight="1">
      <c r="B6" s="5" t="s">
        <v>104</v>
      </c>
      <c r="C6" s="5" t="s">
        <v>105</v>
      </c>
      <c r="D6" s="29">
        <v>55.8</v>
      </c>
      <c r="E6" s="29">
        <v>155</v>
      </c>
      <c r="F6" s="5" t="s">
        <v>106</v>
      </c>
      <c r="G6" s="5" t="s">
        <v>97</v>
      </c>
      <c r="H6" s="30" t="s">
        <v>107</v>
      </c>
      <c r="K6" s="185"/>
      <c r="L6" s="186"/>
      <c r="M6" s="186"/>
      <c r="N6" s="186"/>
      <c r="O6" s="187"/>
    </row>
    <row r="7" spans="2:15" ht="15.75" customHeight="1">
      <c r="B7" s="5" t="s">
        <v>108</v>
      </c>
      <c r="C7" s="5" t="s">
        <v>109</v>
      </c>
      <c r="D7" s="29">
        <v>36.25</v>
      </c>
      <c r="E7" s="29">
        <v>125</v>
      </c>
      <c r="F7" s="5" t="s">
        <v>110</v>
      </c>
      <c r="G7" s="5" t="s">
        <v>97</v>
      </c>
      <c r="H7" s="30" t="s">
        <v>111</v>
      </c>
      <c r="K7" s="185"/>
      <c r="L7" s="186"/>
      <c r="M7" s="186"/>
      <c r="N7" s="186"/>
      <c r="O7" s="187"/>
    </row>
    <row r="8" spans="2:15" ht="15.75" customHeight="1">
      <c r="B8" s="5" t="s">
        <v>112</v>
      </c>
      <c r="C8" s="5" t="s">
        <v>113</v>
      </c>
      <c r="D8" s="29">
        <v>15.6</v>
      </c>
      <c r="E8" s="29">
        <v>130</v>
      </c>
      <c r="F8" s="5" t="s">
        <v>114</v>
      </c>
      <c r="G8" s="5" t="s">
        <v>102</v>
      </c>
      <c r="H8" s="30" t="s">
        <v>115</v>
      </c>
      <c r="K8" s="185"/>
      <c r="L8" s="186"/>
      <c r="M8" s="186"/>
      <c r="N8" s="186"/>
      <c r="O8" s="187"/>
    </row>
    <row r="9" spans="2:15" ht="15.75" customHeight="1">
      <c r="B9" s="5" t="s">
        <v>116</v>
      </c>
      <c r="C9" s="5" t="s">
        <v>117</v>
      </c>
      <c r="D9" s="29">
        <v>39.520000000000003</v>
      </c>
      <c r="E9" s="29">
        <v>208</v>
      </c>
      <c r="F9" s="5" t="s">
        <v>118</v>
      </c>
      <c r="G9" s="5" t="s">
        <v>119</v>
      </c>
      <c r="H9" s="30" t="s">
        <v>120</v>
      </c>
      <c r="K9" s="185"/>
      <c r="L9" s="186"/>
      <c r="M9" s="186"/>
      <c r="N9" s="186"/>
      <c r="O9" s="187"/>
    </row>
    <row r="10" spans="2:15" ht="15.75" customHeight="1">
      <c r="B10" s="5" t="s">
        <v>121</v>
      </c>
      <c r="C10" s="5" t="s">
        <v>122</v>
      </c>
      <c r="D10" s="29">
        <v>13.16</v>
      </c>
      <c r="E10" s="29">
        <v>94</v>
      </c>
      <c r="F10" s="5" t="s">
        <v>123</v>
      </c>
      <c r="G10" s="5" t="s">
        <v>119</v>
      </c>
      <c r="H10" s="30" t="s">
        <v>124</v>
      </c>
      <c r="K10" s="185"/>
      <c r="L10" s="186"/>
      <c r="M10" s="186"/>
      <c r="N10" s="186"/>
      <c r="O10" s="187"/>
    </row>
    <row r="11" spans="2:15" ht="15.75" customHeight="1">
      <c r="B11" s="5" t="s">
        <v>125</v>
      </c>
      <c r="C11" s="5" t="s">
        <v>126</v>
      </c>
      <c r="D11" s="29">
        <v>83.22</v>
      </c>
      <c r="E11" s="29">
        <v>219</v>
      </c>
      <c r="F11" s="5" t="s">
        <v>127</v>
      </c>
      <c r="G11" s="5" t="s">
        <v>119</v>
      </c>
      <c r="H11" s="30" t="s">
        <v>128</v>
      </c>
      <c r="K11" s="185"/>
      <c r="L11" s="186"/>
      <c r="M11" s="186"/>
      <c r="N11" s="186"/>
      <c r="O11" s="187"/>
    </row>
    <row r="12" spans="2:15" ht="15.75" customHeight="1">
      <c r="B12" s="5" t="s">
        <v>129</v>
      </c>
      <c r="C12" s="5" t="s">
        <v>130</v>
      </c>
      <c r="D12" s="29">
        <v>17.68</v>
      </c>
      <c r="E12" s="29">
        <v>104</v>
      </c>
      <c r="F12" s="5" t="s">
        <v>131</v>
      </c>
      <c r="G12" s="5" t="s">
        <v>102</v>
      </c>
      <c r="H12" s="30" t="s">
        <v>132</v>
      </c>
      <c r="K12" s="185"/>
      <c r="L12" s="186"/>
      <c r="M12" s="186"/>
      <c r="N12" s="186"/>
      <c r="O12" s="187"/>
    </row>
    <row r="13" spans="2:15" ht="15.75" customHeight="1">
      <c r="B13" s="5" t="s">
        <v>133</v>
      </c>
      <c r="C13" s="5" t="s">
        <v>134</v>
      </c>
      <c r="D13" s="29">
        <v>33.25</v>
      </c>
      <c r="E13" s="29">
        <v>175</v>
      </c>
      <c r="F13" s="5" t="s">
        <v>135</v>
      </c>
      <c r="G13" s="5" t="s">
        <v>102</v>
      </c>
      <c r="H13" s="30" t="s">
        <v>136</v>
      </c>
      <c r="K13" s="185"/>
      <c r="L13" s="186"/>
      <c r="M13" s="186"/>
      <c r="N13" s="186"/>
      <c r="O13" s="187"/>
    </row>
    <row r="14" spans="2:15" ht="15.75" customHeight="1">
      <c r="B14" s="5" t="s">
        <v>137</v>
      </c>
      <c r="C14" s="5" t="s">
        <v>138</v>
      </c>
      <c r="D14" s="29">
        <v>48.96</v>
      </c>
      <c r="E14" s="29">
        <v>136</v>
      </c>
      <c r="F14" s="5" t="s">
        <v>139</v>
      </c>
      <c r="G14" s="5" t="s">
        <v>97</v>
      </c>
      <c r="H14" s="30" t="s">
        <v>140</v>
      </c>
      <c r="K14" s="185"/>
      <c r="L14" s="186"/>
      <c r="M14" s="186"/>
      <c r="N14" s="186"/>
      <c r="O14" s="187"/>
    </row>
    <row r="15" spans="2:15" ht="15.75" customHeight="1">
      <c r="B15" s="5" t="s">
        <v>141</v>
      </c>
      <c r="C15" s="5" t="s">
        <v>142</v>
      </c>
      <c r="D15" s="29">
        <v>28.6</v>
      </c>
      <c r="E15" s="29">
        <v>220</v>
      </c>
      <c r="F15" s="5" t="s">
        <v>143</v>
      </c>
      <c r="G15" s="5" t="s">
        <v>102</v>
      </c>
      <c r="H15" s="30" t="s">
        <v>144</v>
      </c>
      <c r="K15" s="185"/>
      <c r="L15" s="186"/>
      <c r="M15" s="186"/>
      <c r="N15" s="186"/>
      <c r="O15" s="187"/>
    </row>
    <row r="16" spans="2:15" ht="15.75" customHeight="1">
      <c r="B16" s="5" t="s">
        <v>145</v>
      </c>
      <c r="C16" s="5" t="s">
        <v>146</v>
      </c>
      <c r="D16" s="29">
        <v>49.21</v>
      </c>
      <c r="E16" s="29">
        <v>259</v>
      </c>
      <c r="F16" s="5" t="s">
        <v>147</v>
      </c>
      <c r="G16" s="5" t="s">
        <v>102</v>
      </c>
      <c r="H16" s="30" t="s">
        <v>148</v>
      </c>
      <c r="K16" s="185"/>
      <c r="L16" s="186"/>
      <c r="M16" s="186"/>
      <c r="N16" s="186"/>
      <c r="O16" s="187"/>
    </row>
    <row r="17" spans="2:15" ht="15.75" customHeight="1">
      <c r="B17" s="5" t="s">
        <v>149</v>
      </c>
      <c r="C17" s="5" t="s">
        <v>150</v>
      </c>
      <c r="D17" s="29">
        <v>30.96</v>
      </c>
      <c r="E17" s="29">
        <v>258</v>
      </c>
      <c r="F17" s="5" t="s">
        <v>151</v>
      </c>
      <c r="G17" s="5" t="s">
        <v>97</v>
      </c>
      <c r="H17" s="30" t="s">
        <v>152</v>
      </c>
      <c r="K17" s="185"/>
      <c r="L17" s="186"/>
      <c r="M17" s="186"/>
      <c r="N17" s="186"/>
      <c r="O17" s="187"/>
    </row>
    <row r="18" spans="2:15" ht="15.75" customHeight="1">
      <c r="B18" s="5" t="s">
        <v>153</v>
      </c>
      <c r="C18" s="5" t="s">
        <v>154</v>
      </c>
      <c r="D18" s="29">
        <v>95.09</v>
      </c>
      <c r="E18" s="29">
        <v>257</v>
      </c>
      <c r="F18" s="5" t="s">
        <v>155</v>
      </c>
      <c r="G18" s="5" t="s">
        <v>119</v>
      </c>
      <c r="H18" s="30" t="s">
        <v>156</v>
      </c>
      <c r="K18" s="185"/>
      <c r="L18" s="186"/>
      <c r="M18" s="186"/>
      <c r="N18" s="186"/>
      <c r="O18" s="187"/>
    </row>
    <row r="19" spans="2:15" ht="15.75" customHeight="1">
      <c r="B19" s="5" t="s">
        <v>157</v>
      </c>
      <c r="C19" s="5" t="s">
        <v>158</v>
      </c>
      <c r="D19" s="29">
        <v>19.63</v>
      </c>
      <c r="E19" s="29">
        <v>151</v>
      </c>
      <c r="F19" s="5" t="s">
        <v>159</v>
      </c>
      <c r="G19" s="5" t="s">
        <v>102</v>
      </c>
      <c r="H19" s="30" t="s">
        <v>160</v>
      </c>
      <c r="K19" s="185"/>
      <c r="L19" s="186"/>
      <c r="M19" s="186"/>
      <c r="N19" s="186"/>
      <c r="O19" s="187"/>
    </row>
    <row r="20" spans="2:15" ht="15.75" customHeight="1">
      <c r="B20" s="5" t="s">
        <v>161</v>
      </c>
      <c r="C20" s="5" t="s">
        <v>162</v>
      </c>
      <c r="D20" s="29">
        <v>42.39</v>
      </c>
      <c r="E20" s="29">
        <v>157</v>
      </c>
      <c r="F20" s="5" t="s">
        <v>163</v>
      </c>
      <c r="G20" s="5" t="s">
        <v>119</v>
      </c>
      <c r="H20" s="30" t="s">
        <v>164</v>
      </c>
      <c r="K20" s="185"/>
      <c r="L20" s="186"/>
      <c r="M20" s="186"/>
      <c r="N20" s="186"/>
      <c r="O20" s="187"/>
    </row>
    <row r="21" spans="2:15" ht="15.75" customHeight="1">
      <c r="B21" s="5" t="s">
        <v>165</v>
      </c>
      <c r="C21" s="5" t="s">
        <v>166</v>
      </c>
      <c r="D21" s="29">
        <v>41.25</v>
      </c>
      <c r="E21" s="29">
        <v>165</v>
      </c>
      <c r="F21" s="5" t="s">
        <v>167</v>
      </c>
      <c r="G21" s="5" t="s">
        <v>97</v>
      </c>
      <c r="H21" s="30" t="s">
        <v>168</v>
      </c>
      <c r="K21" s="185"/>
      <c r="L21" s="186"/>
      <c r="M21" s="186"/>
      <c r="N21" s="186"/>
      <c r="O21" s="187"/>
    </row>
    <row r="22" spans="2:15" ht="15.75" customHeight="1">
      <c r="B22" s="5" t="s">
        <v>169</v>
      </c>
      <c r="C22" s="5" t="s">
        <v>170</v>
      </c>
      <c r="D22" s="29">
        <v>83.3</v>
      </c>
      <c r="E22" s="29">
        <v>238</v>
      </c>
      <c r="F22" s="5" t="s">
        <v>171</v>
      </c>
      <c r="G22" s="5" t="s">
        <v>92</v>
      </c>
      <c r="H22" s="30" t="s">
        <v>172</v>
      </c>
      <c r="K22" s="185"/>
      <c r="L22" s="186"/>
      <c r="M22" s="186"/>
      <c r="N22" s="186"/>
      <c r="O22" s="187"/>
    </row>
    <row r="23" spans="2:15" ht="15.75" customHeight="1" thickBot="1">
      <c r="B23" s="5" t="s">
        <v>173</v>
      </c>
      <c r="C23" s="5" t="s">
        <v>174</v>
      </c>
      <c r="D23" s="29">
        <v>61.6</v>
      </c>
      <c r="E23" s="29">
        <v>220</v>
      </c>
      <c r="F23" s="5" t="s">
        <v>175</v>
      </c>
      <c r="G23" s="5" t="s">
        <v>92</v>
      </c>
      <c r="H23" s="30" t="s">
        <v>176</v>
      </c>
      <c r="K23" s="188"/>
      <c r="L23" s="189"/>
      <c r="M23" s="189"/>
      <c r="N23" s="189"/>
      <c r="O23" s="190"/>
    </row>
    <row r="24" spans="2:15" ht="15.75" customHeight="1">
      <c r="B24" s="5" t="s">
        <v>177</v>
      </c>
      <c r="C24" s="5" t="s">
        <v>178</v>
      </c>
      <c r="D24" s="29">
        <v>26.88</v>
      </c>
      <c r="E24" s="29">
        <v>224</v>
      </c>
      <c r="F24" s="5" t="s">
        <v>179</v>
      </c>
      <c r="G24" s="5" t="s">
        <v>102</v>
      </c>
      <c r="H24" s="30" t="s">
        <v>180</v>
      </c>
    </row>
    <row r="25" spans="2:15" ht="15.75" customHeight="1">
      <c r="B25" s="5" t="s">
        <v>181</v>
      </c>
      <c r="C25" s="5" t="s">
        <v>182</v>
      </c>
      <c r="D25" s="29">
        <v>51</v>
      </c>
      <c r="E25" s="29">
        <v>150</v>
      </c>
      <c r="F25" s="5" t="s">
        <v>183</v>
      </c>
      <c r="G25" s="5" t="s">
        <v>92</v>
      </c>
      <c r="H25" s="30" t="s">
        <v>184</v>
      </c>
    </row>
    <row r="26" spans="2:15" ht="15.75" customHeight="1">
      <c r="B26" s="5" t="s">
        <v>185</v>
      </c>
      <c r="C26" s="5" t="s">
        <v>186</v>
      </c>
      <c r="D26" s="29">
        <v>19.5</v>
      </c>
      <c r="E26" s="29">
        <v>78</v>
      </c>
      <c r="F26" s="5" t="s">
        <v>187</v>
      </c>
      <c r="G26" s="5" t="s">
        <v>102</v>
      </c>
      <c r="H26" s="30" t="s">
        <v>188</v>
      </c>
    </row>
    <row r="27" spans="2:15" ht="15.75" customHeight="1">
      <c r="B27" s="5" t="s">
        <v>189</v>
      </c>
      <c r="C27" s="5" t="s">
        <v>190</v>
      </c>
      <c r="D27" s="29">
        <v>22.1</v>
      </c>
      <c r="E27" s="29">
        <v>130</v>
      </c>
      <c r="F27" s="5" t="s">
        <v>191</v>
      </c>
      <c r="G27" s="5" t="s">
        <v>97</v>
      </c>
      <c r="H27" s="30" t="s">
        <v>192</v>
      </c>
    </row>
    <row r="28" spans="2:15" ht="15.75" customHeight="1">
      <c r="B28" s="5" t="s">
        <v>193</v>
      </c>
      <c r="C28" s="5" t="s">
        <v>194</v>
      </c>
      <c r="D28" s="29">
        <v>18.079999999999998</v>
      </c>
      <c r="E28" s="29">
        <v>113</v>
      </c>
      <c r="F28" s="5" t="s">
        <v>195</v>
      </c>
      <c r="G28" s="5" t="s">
        <v>92</v>
      </c>
      <c r="H28" s="30" t="s">
        <v>196</v>
      </c>
    </row>
    <row r="29" spans="2:15" ht="15.75" customHeight="1">
      <c r="B29" s="5" t="s">
        <v>197</v>
      </c>
      <c r="C29" s="5" t="s">
        <v>198</v>
      </c>
      <c r="D29" s="29">
        <v>23.2</v>
      </c>
      <c r="E29" s="29">
        <v>116</v>
      </c>
      <c r="F29" s="5" t="s">
        <v>199</v>
      </c>
      <c r="G29" s="5" t="s">
        <v>119</v>
      </c>
      <c r="H29" s="30" t="s">
        <v>200</v>
      </c>
    </row>
    <row r="30" spans="2:15" ht="15.75" customHeight="1">
      <c r="B30" s="5" t="s">
        <v>201</v>
      </c>
      <c r="C30" s="5" t="s">
        <v>202</v>
      </c>
      <c r="D30" s="29">
        <v>32.369999999999997</v>
      </c>
      <c r="E30" s="29">
        <v>249</v>
      </c>
      <c r="F30" s="5" t="s">
        <v>203</v>
      </c>
      <c r="G30" s="5" t="s">
        <v>102</v>
      </c>
      <c r="H30" s="30" t="s">
        <v>204</v>
      </c>
    </row>
    <row r="31" spans="2:15" ht="15.75" customHeight="1">
      <c r="B31" s="5" t="s">
        <v>205</v>
      </c>
      <c r="C31" s="5" t="s">
        <v>206</v>
      </c>
      <c r="D31" s="29">
        <v>41.48</v>
      </c>
      <c r="E31" s="29">
        <v>122</v>
      </c>
      <c r="F31" s="5" t="s">
        <v>207</v>
      </c>
      <c r="G31" s="5" t="s">
        <v>119</v>
      </c>
      <c r="H31" s="30" t="s">
        <v>208</v>
      </c>
    </row>
    <row r="32" spans="2:15" ht="15.75" customHeight="1">
      <c r="B32" s="5" t="s">
        <v>209</v>
      </c>
      <c r="C32" s="5" t="s">
        <v>210</v>
      </c>
      <c r="D32" s="29">
        <v>38.64</v>
      </c>
      <c r="E32" s="29">
        <v>168</v>
      </c>
      <c r="F32" s="5" t="s">
        <v>211</v>
      </c>
      <c r="G32" s="5" t="s">
        <v>102</v>
      </c>
      <c r="H32" s="30" t="s">
        <v>212</v>
      </c>
    </row>
    <row r="33" spans="2:8" ht="15.75" customHeight="1">
      <c r="B33" s="5" t="s">
        <v>213</v>
      </c>
      <c r="C33" s="5" t="s">
        <v>214</v>
      </c>
      <c r="D33" s="29">
        <v>37.44</v>
      </c>
      <c r="E33" s="29">
        <v>234</v>
      </c>
      <c r="F33" s="5" t="s">
        <v>215</v>
      </c>
      <c r="G33" s="5" t="s">
        <v>92</v>
      </c>
      <c r="H33" s="30" t="s">
        <v>216</v>
      </c>
    </row>
    <row r="34" spans="2:8" ht="15.75" customHeight="1">
      <c r="B34" s="5" t="s">
        <v>217</v>
      </c>
      <c r="C34" s="5" t="s">
        <v>218</v>
      </c>
      <c r="D34" s="29">
        <v>14.69</v>
      </c>
      <c r="E34" s="29">
        <v>113</v>
      </c>
      <c r="F34" s="5" t="s">
        <v>219</v>
      </c>
      <c r="G34" s="5" t="s">
        <v>92</v>
      </c>
      <c r="H34" s="30" t="s">
        <v>220</v>
      </c>
    </row>
    <row r="35" spans="2:8" ht="15.75" customHeight="1">
      <c r="B35" s="5" t="s">
        <v>221</v>
      </c>
      <c r="C35" s="5" t="s">
        <v>222</v>
      </c>
      <c r="D35" s="29">
        <v>23.76</v>
      </c>
      <c r="E35" s="29">
        <v>198</v>
      </c>
      <c r="F35" s="5" t="s">
        <v>223</v>
      </c>
      <c r="G35" s="5" t="s">
        <v>102</v>
      </c>
      <c r="H35" s="30" t="s">
        <v>224</v>
      </c>
    </row>
    <row r="36" spans="2:8" ht="15.75" customHeight="1">
      <c r="B36" s="5" t="s">
        <v>225</v>
      </c>
      <c r="C36" s="5" t="s">
        <v>226</v>
      </c>
      <c r="D36" s="29">
        <v>53.76</v>
      </c>
      <c r="E36" s="29">
        <v>168</v>
      </c>
      <c r="F36" s="5" t="s">
        <v>227</v>
      </c>
      <c r="G36" s="5" t="s">
        <v>97</v>
      </c>
      <c r="H36" s="30" t="s">
        <v>228</v>
      </c>
    </row>
    <row r="37" spans="2:8" ht="15.75" customHeight="1">
      <c r="B37" s="5" t="s">
        <v>229</v>
      </c>
      <c r="C37" s="5" t="s">
        <v>230</v>
      </c>
      <c r="D37" s="29">
        <v>43.74</v>
      </c>
      <c r="E37" s="29">
        <v>162</v>
      </c>
      <c r="F37" s="5" t="s">
        <v>231</v>
      </c>
      <c r="G37" s="5" t="s">
        <v>97</v>
      </c>
      <c r="H37" s="30" t="s">
        <v>232</v>
      </c>
    </row>
    <row r="38" spans="2:8" ht="15.75" customHeight="1">
      <c r="B38" s="5" t="s">
        <v>233</v>
      </c>
      <c r="C38" s="5" t="s">
        <v>234</v>
      </c>
      <c r="D38" s="29">
        <v>57.6</v>
      </c>
      <c r="E38" s="29">
        <v>160</v>
      </c>
      <c r="F38" s="5" t="s">
        <v>235</v>
      </c>
      <c r="G38" s="5" t="s">
        <v>97</v>
      </c>
      <c r="H38" s="30" t="s">
        <v>236</v>
      </c>
    </row>
    <row r="39" spans="2:8" ht="15.75" customHeight="1">
      <c r="B39" s="5" t="s">
        <v>237</v>
      </c>
      <c r="C39" s="5" t="s">
        <v>238</v>
      </c>
      <c r="D39" s="29">
        <v>45.76</v>
      </c>
      <c r="E39" s="29">
        <v>176</v>
      </c>
      <c r="F39" s="5" t="s">
        <v>239</v>
      </c>
      <c r="G39" s="5" t="s">
        <v>119</v>
      </c>
      <c r="H39" s="30" t="s">
        <v>240</v>
      </c>
    </row>
    <row r="40" spans="2:8" ht="15.75" customHeight="1">
      <c r="B40" s="5" t="s">
        <v>241</v>
      </c>
      <c r="C40" s="5" t="s">
        <v>242</v>
      </c>
      <c r="D40" s="29">
        <v>39.69</v>
      </c>
      <c r="E40" s="29">
        <v>189</v>
      </c>
      <c r="F40" s="5" t="s">
        <v>243</v>
      </c>
      <c r="G40" s="5" t="s">
        <v>119</v>
      </c>
      <c r="H40" s="30" t="s">
        <v>244</v>
      </c>
    </row>
    <row r="41" spans="2:8" ht="15.75" customHeight="1">
      <c r="B41" s="5" t="s">
        <v>245</v>
      </c>
      <c r="C41" s="5" t="s">
        <v>246</v>
      </c>
      <c r="D41" s="29">
        <v>24.42</v>
      </c>
      <c r="E41" s="29">
        <v>111</v>
      </c>
      <c r="F41" s="5" t="s">
        <v>247</v>
      </c>
      <c r="G41" s="5" t="s">
        <v>97</v>
      </c>
      <c r="H41" s="30" t="s">
        <v>248</v>
      </c>
    </row>
    <row r="42" spans="2:8" ht="15.75" customHeight="1">
      <c r="B42" s="5" t="s">
        <v>249</v>
      </c>
      <c r="C42" s="5" t="s">
        <v>250</v>
      </c>
      <c r="D42" s="29">
        <v>17.28</v>
      </c>
      <c r="E42" s="29">
        <v>108</v>
      </c>
      <c r="F42" s="5" t="s">
        <v>251</v>
      </c>
      <c r="G42" s="5" t="s">
        <v>97</v>
      </c>
      <c r="H42" s="30" t="s">
        <v>252</v>
      </c>
    </row>
    <row r="43" spans="2:8" ht="15.75" customHeight="1">
      <c r="B43" s="5" t="s">
        <v>253</v>
      </c>
      <c r="C43" s="5" t="s">
        <v>254</v>
      </c>
      <c r="D43" s="29">
        <v>25.76</v>
      </c>
      <c r="E43" s="29">
        <v>112</v>
      </c>
      <c r="F43" s="5" t="s">
        <v>255</v>
      </c>
      <c r="G43" s="5" t="s">
        <v>92</v>
      </c>
      <c r="H43" s="30" t="s">
        <v>256</v>
      </c>
    </row>
    <row r="44" spans="2:8" ht="15.75" customHeight="1">
      <c r="B44" s="5" t="s">
        <v>257</v>
      </c>
      <c r="C44" s="5" t="s">
        <v>258</v>
      </c>
      <c r="D44" s="29">
        <v>30.6</v>
      </c>
      <c r="E44" s="29">
        <v>85</v>
      </c>
      <c r="F44" s="5" t="s">
        <v>259</v>
      </c>
      <c r="G44" s="5" t="s">
        <v>92</v>
      </c>
      <c r="H44" s="30" t="s">
        <v>260</v>
      </c>
    </row>
    <row r="45" spans="2:8" ht="15.75" customHeight="1">
      <c r="B45" s="5" t="s">
        <v>261</v>
      </c>
      <c r="C45" s="5" t="s">
        <v>262</v>
      </c>
      <c r="D45" s="29">
        <v>24</v>
      </c>
      <c r="E45" s="29">
        <v>120</v>
      </c>
      <c r="F45" s="5" t="s">
        <v>263</v>
      </c>
      <c r="G45" s="5" t="s">
        <v>97</v>
      </c>
      <c r="H45" s="30" t="s">
        <v>264</v>
      </c>
    </row>
    <row r="46" spans="2:8" ht="15.75" customHeight="1">
      <c r="B46" s="5" t="s">
        <v>265</v>
      </c>
      <c r="C46" s="5" t="s">
        <v>266</v>
      </c>
      <c r="D46" s="29">
        <v>62.31</v>
      </c>
      <c r="E46" s="29">
        <v>201</v>
      </c>
      <c r="F46" s="5" t="s">
        <v>267</v>
      </c>
      <c r="G46" s="5" t="s">
        <v>92</v>
      </c>
      <c r="H46" s="30" t="s">
        <v>268</v>
      </c>
    </row>
    <row r="47" spans="2:8" ht="15.75" customHeight="1">
      <c r="B47" s="5" t="s">
        <v>269</v>
      </c>
      <c r="C47" s="5" t="s">
        <v>270</v>
      </c>
      <c r="D47" s="29">
        <v>44.08</v>
      </c>
      <c r="E47" s="29">
        <v>152</v>
      </c>
      <c r="F47" s="5" t="s">
        <v>271</v>
      </c>
      <c r="G47" s="5" t="s">
        <v>97</v>
      </c>
      <c r="H47" s="30" t="s">
        <v>272</v>
      </c>
    </row>
    <row r="48" spans="2:8" ht="15.75" customHeight="1">
      <c r="B48" s="5" t="s">
        <v>273</v>
      </c>
      <c r="C48" s="5" t="s">
        <v>274</v>
      </c>
      <c r="D48" s="29">
        <v>58.32</v>
      </c>
      <c r="E48" s="29">
        <v>162</v>
      </c>
      <c r="F48" s="5" t="s">
        <v>275</v>
      </c>
      <c r="G48" s="5" t="s">
        <v>102</v>
      </c>
      <c r="H48" s="30" t="s">
        <v>276</v>
      </c>
    </row>
    <row r="49" spans="2:8" ht="15.75" customHeight="1">
      <c r="B49" s="5" t="s">
        <v>277</v>
      </c>
      <c r="C49" s="5" t="s">
        <v>278</v>
      </c>
      <c r="D49" s="29">
        <v>26.1</v>
      </c>
      <c r="E49" s="29">
        <v>174</v>
      </c>
      <c r="F49" s="5" t="s">
        <v>279</v>
      </c>
      <c r="G49" s="5" t="s">
        <v>102</v>
      </c>
      <c r="H49" s="30" t="s">
        <v>280</v>
      </c>
    </row>
    <row r="50" spans="2:8" ht="15.75" customHeight="1">
      <c r="B50" s="5" t="s">
        <v>281</v>
      </c>
      <c r="C50" s="5" t="s">
        <v>282</v>
      </c>
      <c r="D50" s="29">
        <v>71.959999999999994</v>
      </c>
      <c r="E50" s="29">
        <v>257</v>
      </c>
      <c r="F50" s="5" t="s">
        <v>283</v>
      </c>
      <c r="G50" s="5" t="s">
        <v>92</v>
      </c>
      <c r="H50" s="30" t="s">
        <v>284</v>
      </c>
    </row>
    <row r="51" spans="2:8" ht="15.75" customHeight="1">
      <c r="B51" s="5" t="s">
        <v>285</v>
      </c>
      <c r="C51" s="5" t="s">
        <v>286</v>
      </c>
      <c r="D51" s="29">
        <v>39.36</v>
      </c>
      <c r="E51" s="29">
        <v>246</v>
      </c>
      <c r="F51" s="5" t="s">
        <v>287</v>
      </c>
      <c r="G51" s="5" t="s">
        <v>97</v>
      </c>
      <c r="H51" s="30" t="s">
        <v>288</v>
      </c>
    </row>
    <row r="52" spans="2:8" ht="15.75" customHeight="1">
      <c r="B52" s="5" t="s">
        <v>289</v>
      </c>
      <c r="C52" s="5" t="s">
        <v>290</v>
      </c>
      <c r="D52" s="29">
        <v>29.83</v>
      </c>
      <c r="E52" s="29">
        <v>157</v>
      </c>
      <c r="F52" s="5" t="s">
        <v>291</v>
      </c>
      <c r="G52" s="5" t="s">
        <v>102</v>
      </c>
      <c r="H52" s="30" t="s">
        <v>292</v>
      </c>
    </row>
    <row r="53" spans="2:8" ht="14">
      <c r="B53" s="5" t="s">
        <v>293</v>
      </c>
      <c r="C53" s="5" t="s">
        <v>294</v>
      </c>
      <c r="D53" s="29">
        <v>41.85</v>
      </c>
      <c r="E53" s="29">
        <v>155</v>
      </c>
      <c r="F53" s="5" t="s">
        <v>295</v>
      </c>
      <c r="G53" s="5" t="s">
        <v>92</v>
      </c>
      <c r="H53" s="30" t="s">
        <v>296</v>
      </c>
    </row>
    <row r="54" spans="2:8" ht="14">
      <c r="B54" s="5" t="s">
        <v>297</v>
      </c>
      <c r="C54" s="5" t="s">
        <v>298</v>
      </c>
      <c r="D54" s="29">
        <v>25.92</v>
      </c>
      <c r="E54" s="29">
        <v>144</v>
      </c>
      <c r="F54" s="5" t="s">
        <v>299</v>
      </c>
      <c r="G54" s="5" t="s">
        <v>102</v>
      </c>
      <c r="H54" s="30" t="s">
        <v>300</v>
      </c>
    </row>
    <row r="55" spans="2:8" ht="14">
      <c r="B55" s="5" t="s">
        <v>301</v>
      </c>
      <c r="C55" s="5" t="s">
        <v>302</v>
      </c>
      <c r="D55" s="29">
        <v>15.04</v>
      </c>
      <c r="E55" s="29">
        <v>94</v>
      </c>
      <c r="F55" s="5" t="s">
        <v>303</v>
      </c>
      <c r="G55" s="5" t="s">
        <v>97</v>
      </c>
      <c r="H55" s="30" t="s">
        <v>304</v>
      </c>
    </row>
    <row r="56" spans="2:8" ht="14">
      <c r="B56" s="5" t="s">
        <v>305</v>
      </c>
      <c r="C56" s="5" t="s">
        <v>306</v>
      </c>
      <c r="D56" s="29">
        <v>21.84</v>
      </c>
      <c r="E56" s="29">
        <v>104</v>
      </c>
      <c r="F56" s="5" t="s">
        <v>307</v>
      </c>
      <c r="G56" s="5" t="s">
        <v>92</v>
      </c>
      <c r="H56" s="30" t="s">
        <v>308</v>
      </c>
    </row>
    <row r="57" spans="2:8" ht="14">
      <c r="B57" s="5" t="s">
        <v>309</v>
      </c>
      <c r="C57" s="5" t="s">
        <v>310</v>
      </c>
      <c r="D57" s="29">
        <v>34.32</v>
      </c>
      <c r="E57" s="29">
        <v>156</v>
      </c>
      <c r="F57" s="5" t="s">
        <v>311</v>
      </c>
      <c r="G57" s="5" t="s">
        <v>92</v>
      </c>
      <c r="H57" s="30" t="s">
        <v>312</v>
      </c>
    </row>
    <row r="58" spans="2:8" ht="14">
      <c r="B58" s="5" t="s">
        <v>313</v>
      </c>
      <c r="C58" s="5" t="s">
        <v>314</v>
      </c>
      <c r="D58" s="29">
        <v>26.25</v>
      </c>
      <c r="E58" s="29">
        <v>105</v>
      </c>
      <c r="F58" s="5" t="s">
        <v>315</v>
      </c>
      <c r="G58" s="5" t="s">
        <v>119</v>
      </c>
      <c r="H58" s="30" t="s">
        <v>316</v>
      </c>
    </row>
    <row r="59" spans="2:8" ht="14">
      <c r="B59" s="5" t="s">
        <v>317</v>
      </c>
      <c r="C59" s="5" t="s">
        <v>318</v>
      </c>
      <c r="D59" s="29">
        <v>68.400000000000006</v>
      </c>
      <c r="E59" s="29">
        <v>190</v>
      </c>
      <c r="F59" s="5" t="s">
        <v>319</v>
      </c>
      <c r="G59" s="5" t="s">
        <v>102</v>
      </c>
      <c r="H59" s="30" t="s">
        <v>320</v>
      </c>
    </row>
    <row r="60" spans="2:8" ht="14">
      <c r="B60" s="5" t="s">
        <v>321</v>
      </c>
      <c r="C60" s="5" t="s">
        <v>322</v>
      </c>
      <c r="D60" s="29">
        <v>33.6</v>
      </c>
      <c r="E60" s="29">
        <v>168</v>
      </c>
      <c r="F60" s="5" t="s">
        <v>323</v>
      </c>
      <c r="G60" s="5" t="s">
        <v>97</v>
      </c>
      <c r="H60" s="30" t="s">
        <v>324</v>
      </c>
    </row>
    <row r="61" spans="2:8" ht="14">
      <c r="B61" s="5" t="s">
        <v>325</v>
      </c>
      <c r="C61" s="5" t="s">
        <v>326</v>
      </c>
      <c r="D61" s="29">
        <v>19.8</v>
      </c>
      <c r="E61" s="29">
        <v>165</v>
      </c>
      <c r="F61" s="5" t="s">
        <v>327</v>
      </c>
      <c r="G61" s="5" t="s">
        <v>102</v>
      </c>
      <c r="H61" s="30" t="s">
        <v>328</v>
      </c>
    </row>
    <row r="62" spans="2:8" ht="14">
      <c r="B62" s="5" t="s">
        <v>329</v>
      </c>
      <c r="C62" s="5" t="s">
        <v>330</v>
      </c>
      <c r="D62" s="29">
        <v>42.18</v>
      </c>
      <c r="E62" s="29">
        <v>114</v>
      </c>
      <c r="F62" s="5" t="s">
        <v>331</v>
      </c>
      <c r="G62" s="5" t="s">
        <v>97</v>
      </c>
      <c r="H62" s="30" t="s">
        <v>332</v>
      </c>
    </row>
    <row r="63" spans="2:8" ht="14">
      <c r="B63" s="5" t="s">
        <v>333</v>
      </c>
      <c r="C63" s="5" t="s">
        <v>334</v>
      </c>
      <c r="D63" s="29">
        <v>56.26</v>
      </c>
      <c r="E63" s="29">
        <v>194</v>
      </c>
      <c r="F63" s="5" t="s">
        <v>335</v>
      </c>
      <c r="G63" s="5" t="s">
        <v>119</v>
      </c>
      <c r="H63" s="30" t="s">
        <v>336</v>
      </c>
    </row>
    <row r="64" spans="2:8" ht="14">
      <c r="B64" s="5" t="s">
        <v>337</v>
      </c>
      <c r="C64" s="5" t="s">
        <v>338</v>
      </c>
      <c r="D64" s="29">
        <v>36.96</v>
      </c>
      <c r="E64" s="29">
        <v>168</v>
      </c>
      <c r="F64" s="5" t="s">
        <v>339</v>
      </c>
      <c r="G64" s="5" t="s">
        <v>102</v>
      </c>
      <c r="H64" s="30" t="s">
        <v>340</v>
      </c>
    </row>
    <row r="65" spans="2:8" ht="14">
      <c r="B65" s="5" t="s">
        <v>341</v>
      </c>
      <c r="C65" s="5" t="s">
        <v>342</v>
      </c>
      <c r="D65" s="29">
        <v>54.96</v>
      </c>
      <c r="E65" s="29">
        <v>229</v>
      </c>
      <c r="F65" s="5" t="s">
        <v>343</v>
      </c>
      <c r="G65" s="5" t="s">
        <v>92</v>
      </c>
      <c r="H65" s="30" t="s">
        <v>344</v>
      </c>
    </row>
    <row r="66" spans="2:8" ht="14">
      <c r="B66" s="5" t="s">
        <v>345</v>
      </c>
      <c r="C66" s="5" t="s">
        <v>346</v>
      </c>
      <c r="D66" s="29">
        <v>50.14</v>
      </c>
      <c r="E66" s="29">
        <v>218</v>
      </c>
      <c r="F66" s="5" t="s">
        <v>347</v>
      </c>
      <c r="G66" s="5" t="s">
        <v>97</v>
      </c>
      <c r="H66" s="30" t="s">
        <v>348</v>
      </c>
    </row>
    <row r="67" spans="2:8" ht="14">
      <c r="B67" s="5" t="s">
        <v>349</v>
      </c>
      <c r="C67" s="5" t="s">
        <v>350</v>
      </c>
      <c r="D67" s="29">
        <v>28.7</v>
      </c>
      <c r="E67" s="29">
        <v>205</v>
      </c>
      <c r="F67" s="5" t="s">
        <v>351</v>
      </c>
      <c r="G67" s="5" t="s">
        <v>119</v>
      </c>
      <c r="H67" s="30" t="s">
        <v>352</v>
      </c>
    </row>
    <row r="68" spans="2:8" ht="14">
      <c r="B68" s="5" t="s">
        <v>353</v>
      </c>
      <c r="C68" s="5" t="s">
        <v>354</v>
      </c>
      <c r="D68" s="29">
        <v>64.8</v>
      </c>
      <c r="E68" s="29">
        <v>180</v>
      </c>
      <c r="F68" s="5" t="s">
        <v>355</v>
      </c>
      <c r="G68" s="5" t="s">
        <v>102</v>
      </c>
      <c r="H68" s="30" t="s">
        <v>356</v>
      </c>
    </row>
    <row r="69" spans="2:8" ht="14">
      <c r="B69" s="5" t="s">
        <v>357</v>
      </c>
      <c r="C69" s="5" t="s">
        <v>358</v>
      </c>
      <c r="D69" s="29">
        <v>39.369999999999997</v>
      </c>
      <c r="E69" s="29">
        <v>127</v>
      </c>
      <c r="F69" s="5" t="s">
        <v>359</v>
      </c>
      <c r="G69" s="5" t="s">
        <v>119</v>
      </c>
      <c r="H69" s="30" t="s">
        <v>360</v>
      </c>
    </row>
    <row r="70" spans="2:8" ht="14">
      <c r="B70" s="5" t="s">
        <v>361</v>
      </c>
      <c r="C70" s="5" t="s">
        <v>362</v>
      </c>
      <c r="D70" s="29">
        <v>46.41</v>
      </c>
      <c r="E70" s="29">
        <v>221</v>
      </c>
      <c r="F70" s="5" t="s">
        <v>363</v>
      </c>
      <c r="G70" s="5" t="s">
        <v>119</v>
      </c>
      <c r="H70" s="30" t="s">
        <v>364</v>
      </c>
    </row>
    <row r="71" spans="2:8" ht="14">
      <c r="B71" s="5" t="s">
        <v>365</v>
      </c>
      <c r="C71" s="5" t="s">
        <v>366</v>
      </c>
      <c r="D71" s="29">
        <v>79.8</v>
      </c>
      <c r="E71" s="29">
        <v>210</v>
      </c>
      <c r="F71" s="5" t="s">
        <v>367</v>
      </c>
      <c r="G71" s="5" t="s">
        <v>92</v>
      </c>
      <c r="H71" s="30" t="s">
        <v>368</v>
      </c>
    </row>
    <row r="72" spans="2:8" ht="14">
      <c r="B72" s="5" t="s">
        <v>369</v>
      </c>
      <c r="C72" s="5" t="s">
        <v>370</v>
      </c>
      <c r="D72" s="29">
        <v>12.75</v>
      </c>
      <c r="E72" s="29">
        <v>75</v>
      </c>
      <c r="F72" s="5" t="s">
        <v>371</v>
      </c>
      <c r="G72" s="5" t="s">
        <v>92</v>
      </c>
      <c r="H72" s="30" t="s">
        <v>372</v>
      </c>
    </row>
    <row r="73" spans="2:8" ht="14">
      <c r="B73" s="5" t="s">
        <v>373</v>
      </c>
      <c r="C73" s="5" t="s">
        <v>374</v>
      </c>
      <c r="D73" s="29">
        <v>77.86</v>
      </c>
      <c r="E73" s="29">
        <v>229</v>
      </c>
      <c r="F73" s="5" t="s">
        <v>375</v>
      </c>
      <c r="G73" s="5" t="s">
        <v>97</v>
      </c>
      <c r="H73" s="30" t="s">
        <v>376</v>
      </c>
    </row>
    <row r="74" spans="2:8" ht="14">
      <c r="B74" s="5" t="s">
        <v>377</v>
      </c>
      <c r="C74" s="5" t="s">
        <v>378</v>
      </c>
      <c r="D74" s="29">
        <v>27.5</v>
      </c>
      <c r="E74" s="29">
        <v>110</v>
      </c>
      <c r="F74" s="5" t="s">
        <v>379</v>
      </c>
      <c r="G74" s="5" t="s">
        <v>102</v>
      </c>
      <c r="H74" s="30" t="s">
        <v>380</v>
      </c>
    </row>
    <row r="75" spans="2:8" ht="14">
      <c r="B75" s="5" t="s">
        <v>381</v>
      </c>
      <c r="C75" s="5" t="s">
        <v>382</v>
      </c>
      <c r="D75" s="29">
        <v>40.94</v>
      </c>
      <c r="E75" s="29">
        <v>178</v>
      </c>
      <c r="F75" s="5" t="s">
        <v>383</v>
      </c>
      <c r="G75" s="5" t="s">
        <v>119</v>
      </c>
      <c r="H75" s="30" t="s">
        <v>384</v>
      </c>
    </row>
    <row r="76" spans="2:8" ht="14">
      <c r="B76" s="5" t="s">
        <v>385</v>
      </c>
      <c r="C76" s="5" t="s">
        <v>386</v>
      </c>
      <c r="D76" s="29">
        <v>33.799999999999997</v>
      </c>
      <c r="E76" s="29">
        <v>169</v>
      </c>
      <c r="F76" s="5" t="s">
        <v>387</v>
      </c>
      <c r="G76" s="5" t="s">
        <v>97</v>
      </c>
      <c r="H76" s="30" t="s">
        <v>388</v>
      </c>
    </row>
    <row r="77" spans="2:8" ht="14">
      <c r="B77" s="5" t="s">
        <v>389</v>
      </c>
      <c r="C77" s="5" t="s">
        <v>390</v>
      </c>
      <c r="D77" s="29">
        <v>36.74</v>
      </c>
      <c r="E77" s="29">
        <v>167</v>
      </c>
      <c r="F77" s="5" t="s">
        <v>391</v>
      </c>
      <c r="G77" s="5" t="s">
        <v>92</v>
      </c>
      <c r="H77" s="30" t="s">
        <v>392</v>
      </c>
    </row>
    <row r="78" spans="2:8" ht="14">
      <c r="B78" s="5" t="s">
        <v>393</v>
      </c>
      <c r="C78" s="5" t="s">
        <v>394</v>
      </c>
      <c r="D78" s="29">
        <v>52.29</v>
      </c>
      <c r="E78" s="29">
        <v>249</v>
      </c>
      <c r="F78" s="5" t="s">
        <v>395</v>
      </c>
      <c r="G78" s="5" t="s">
        <v>92</v>
      </c>
      <c r="H78" s="30" t="s">
        <v>396</v>
      </c>
    </row>
    <row r="79" spans="2:8" ht="14">
      <c r="B79" s="5" t="s">
        <v>397</v>
      </c>
      <c r="C79" s="5" t="s">
        <v>398</v>
      </c>
      <c r="D79" s="29">
        <v>38.159999999999997</v>
      </c>
      <c r="E79" s="29">
        <v>212</v>
      </c>
      <c r="F79" s="5" t="s">
        <v>399</v>
      </c>
      <c r="G79" s="5" t="s">
        <v>102</v>
      </c>
      <c r="H79" s="30" t="s">
        <v>400</v>
      </c>
    </row>
    <row r="80" spans="2:8" ht="14">
      <c r="B80" s="5" t="s">
        <v>401</v>
      </c>
      <c r="C80" s="5" t="s">
        <v>402</v>
      </c>
      <c r="D80" s="29">
        <v>38.25</v>
      </c>
      <c r="E80" s="29">
        <v>255</v>
      </c>
      <c r="F80" s="5" t="s">
        <v>403</v>
      </c>
      <c r="G80" s="5" t="s">
        <v>92</v>
      </c>
      <c r="H80" s="30" t="s">
        <v>404</v>
      </c>
    </row>
    <row r="81" spans="2:8" ht="14">
      <c r="B81" s="5" t="s">
        <v>405</v>
      </c>
      <c r="C81" s="5" t="s">
        <v>406</v>
      </c>
      <c r="D81" s="29">
        <v>44.46</v>
      </c>
      <c r="E81" s="29">
        <v>234</v>
      </c>
      <c r="F81" s="5" t="s">
        <v>407</v>
      </c>
      <c r="G81" s="5" t="s">
        <v>92</v>
      </c>
      <c r="H81" s="30" t="s">
        <v>408</v>
      </c>
    </row>
    <row r="82" spans="2:8" ht="14">
      <c r="B82" s="5" t="s">
        <v>409</v>
      </c>
      <c r="C82" s="5" t="s">
        <v>410</v>
      </c>
      <c r="D82" s="29">
        <v>60.2</v>
      </c>
      <c r="E82" s="29">
        <v>215</v>
      </c>
      <c r="F82" s="5" t="s">
        <v>411</v>
      </c>
      <c r="G82" s="5" t="s">
        <v>102</v>
      </c>
      <c r="H82" s="30" t="s">
        <v>412</v>
      </c>
    </row>
    <row r="83" spans="2:8" ht="14">
      <c r="B83" s="5" t="s">
        <v>413</v>
      </c>
      <c r="C83" s="5" t="s">
        <v>414</v>
      </c>
      <c r="D83" s="29">
        <v>44.46</v>
      </c>
      <c r="E83" s="29">
        <v>171</v>
      </c>
      <c r="F83" s="5" t="s">
        <v>399</v>
      </c>
      <c r="G83" s="5" t="s">
        <v>92</v>
      </c>
      <c r="H83" s="30" t="s">
        <v>415</v>
      </c>
    </row>
    <row r="84" spans="2:8" ht="14">
      <c r="B84" s="5" t="s">
        <v>416</v>
      </c>
      <c r="C84" s="5" t="s">
        <v>417</v>
      </c>
      <c r="D84" s="29">
        <v>38.08</v>
      </c>
      <c r="E84" s="29">
        <v>112</v>
      </c>
      <c r="F84" s="5" t="s">
        <v>403</v>
      </c>
      <c r="G84" s="5" t="s">
        <v>119</v>
      </c>
      <c r="H84" s="30" t="s">
        <v>418</v>
      </c>
    </row>
    <row r="85" spans="2:8" ht="14">
      <c r="C85" s="5"/>
      <c r="D85" s="29"/>
      <c r="E85" s="29"/>
      <c r="G85" s="5"/>
    </row>
    <row r="86" spans="2:8" ht="14">
      <c r="C86" s="5"/>
      <c r="D86" s="29"/>
      <c r="E86" s="29"/>
      <c r="G86" s="5"/>
    </row>
    <row r="87" spans="2:8" ht="14">
      <c r="C87" s="5"/>
      <c r="D87" s="29"/>
      <c r="E87" s="29"/>
      <c r="G87" s="5"/>
    </row>
    <row r="88" spans="2:8" ht="14">
      <c r="C88" s="5"/>
      <c r="D88" s="29"/>
      <c r="E88" s="29"/>
      <c r="G88" s="5"/>
    </row>
    <row r="89" spans="2:8" ht="14">
      <c r="C89" s="5"/>
      <c r="D89" s="29"/>
      <c r="E89" s="29"/>
      <c r="G89" s="5"/>
    </row>
    <row r="90" spans="2:8" ht="14">
      <c r="C90" s="5"/>
      <c r="D90" s="29"/>
      <c r="E90" s="29"/>
      <c r="G90" s="5"/>
    </row>
    <row r="91" spans="2:8" ht="14">
      <c r="C91" s="5"/>
      <c r="D91" s="29"/>
      <c r="E91" s="29"/>
      <c r="G91" s="5"/>
    </row>
    <row r="92" spans="2:8" ht="14">
      <c r="C92" s="5"/>
      <c r="D92" s="29"/>
      <c r="E92" s="29"/>
      <c r="G92" s="5"/>
    </row>
    <row r="93" spans="2:8" ht="14">
      <c r="C93" s="5"/>
      <c r="D93" s="29"/>
      <c r="E93" s="29"/>
      <c r="G93" s="5"/>
    </row>
    <row r="94" spans="2:8" ht="14">
      <c r="C94" s="5"/>
      <c r="D94" s="29"/>
      <c r="E94" s="29"/>
      <c r="G94" s="5"/>
    </row>
    <row r="95" spans="2:8" ht="14">
      <c r="C95" s="5"/>
      <c r="D95" s="29"/>
      <c r="E95" s="29"/>
      <c r="G95" s="5"/>
    </row>
    <row r="96" spans="2:8" ht="14">
      <c r="C96" s="5"/>
      <c r="D96" s="29"/>
      <c r="E96" s="29"/>
      <c r="G96" s="5"/>
    </row>
    <row r="97" spans="3:5" ht="14">
      <c r="C97" s="5"/>
      <c r="D97" s="29"/>
      <c r="E97" s="29"/>
    </row>
    <row r="98" spans="3:5" ht="14">
      <c r="C98" s="5"/>
      <c r="D98" s="29"/>
      <c r="E98" s="29"/>
    </row>
    <row r="99" spans="3:5" ht="14">
      <c r="C99" s="5"/>
      <c r="D99" s="29"/>
      <c r="E99" s="29"/>
    </row>
    <row r="100" spans="3:5" ht="14">
      <c r="C100" s="5"/>
      <c r="D100" s="29"/>
      <c r="E100" s="29"/>
    </row>
    <row r="101" spans="3:5" ht="14">
      <c r="C101" s="5"/>
      <c r="D101" s="29"/>
      <c r="E101" s="29"/>
    </row>
    <row r="102" spans="3:5" ht="14">
      <c r="C102" s="5"/>
      <c r="D102" s="29"/>
      <c r="E102" s="29"/>
    </row>
    <row r="103" spans="3:5" ht="14">
      <c r="C103" s="5"/>
      <c r="D103" s="29"/>
      <c r="E103" s="29"/>
    </row>
    <row r="104" spans="3:5" ht="14">
      <c r="C104" s="5"/>
      <c r="D104" s="29"/>
      <c r="E104" s="29"/>
    </row>
    <row r="105" spans="3:5" ht="14">
      <c r="C105" s="5"/>
      <c r="D105" s="29"/>
      <c r="E105" s="29"/>
    </row>
    <row r="106" spans="3:5" ht="14">
      <c r="C106" s="5"/>
      <c r="D106" s="29"/>
      <c r="E106" s="29"/>
    </row>
    <row r="107" spans="3:5" ht="14">
      <c r="C107" s="5"/>
      <c r="D107" s="29"/>
      <c r="E107" s="29"/>
    </row>
    <row r="108" spans="3:5" ht="14">
      <c r="C108" s="5"/>
      <c r="D108" s="29"/>
      <c r="E108" s="29"/>
    </row>
    <row r="109" spans="3:5" ht="14">
      <c r="C109" s="5"/>
      <c r="D109" s="29"/>
      <c r="E109" s="29"/>
    </row>
    <row r="110" spans="3:5" ht="14">
      <c r="C110" s="5"/>
      <c r="D110" s="29"/>
      <c r="E110" s="29"/>
    </row>
    <row r="111" spans="3:5" ht="14">
      <c r="C111" s="5"/>
      <c r="D111" s="29"/>
      <c r="E111" s="29"/>
    </row>
    <row r="112" spans="3:5" ht="14">
      <c r="C112" s="5"/>
      <c r="D112" s="29"/>
      <c r="E112" s="29"/>
    </row>
    <row r="113" spans="3:5" ht="14">
      <c r="C113" s="5"/>
      <c r="D113" s="29"/>
      <c r="E113" s="29"/>
    </row>
    <row r="114" spans="3:5" ht="14">
      <c r="C114" s="5"/>
      <c r="D114" s="29"/>
      <c r="E114" s="29"/>
    </row>
    <row r="115" spans="3:5" ht="14">
      <c r="C115" s="5"/>
      <c r="D115" s="29"/>
      <c r="E115" s="29"/>
    </row>
    <row r="116" spans="3:5" ht="14">
      <c r="C116" s="5"/>
      <c r="D116" s="29"/>
      <c r="E116" s="29"/>
    </row>
    <row r="117" spans="3:5" ht="14">
      <c r="C117" s="5"/>
      <c r="D117" s="29"/>
      <c r="E117" s="29"/>
    </row>
    <row r="118" spans="3:5" ht="14">
      <c r="C118" s="5"/>
      <c r="D118" s="29"/>
      <c r="E118" s="29"/>
    </row>
    <row r="119" spans="3:5" ht="14">
      <c r="C119" s="5"/>
      <c r="D119" s="29"/>
      <c r="E119" s="29"/>
    </row>
    <row r="120" spans="3:5" ht="14">
      <c r="C120" s="5"/>
      <c r="D120" s="29"/>
      <c r="E120" s="29"/>
    </row>
    <row r="121" spans="3:5" ht="14">
      <c r="C121" s="5"/>
      <c r="D121" s="29"/>
      <c r="E121" s="29"/>
    </row>
    <row r="122" spans="3:5" ht="14">
      <c r="C122" s="5"/>
      <c r="D122" s="29"/>
      <c r="E122" s="29"/>
    </row>
    <row r="123" spans="3:5" ht="14">
      <c r="C123" s="5"/>
      <c r="D123" s="29"/>
      <c r="E123" s="29"/>
    </row>
    <row r="124" spans="3:5" ht="14">
      <c r="C124" s="5"/>
      <c r="D124" s="29"/>
      <c r="E124" s="29"/>
    </row>
    <row r="125" spans="3:5" ht="14">
      <c r="C125" s="5"/>
      <c r="D125" s="29"/>
      <c r="E125" s="29"/>
    </row>
    <row r="126" spans="3:5" ht="14">
      <c r="C126" s="5"/>
      <c r="D126" s="29"/>
      <c r="E126" s="29"/>
    </row>
    <row r="127" spans="3:5" ht="14">
      <c r="C127" s="5"/>
      <c r="D127" s="29"/>
      <c r="E127" s="29"/>
    </row>
    <row r="128" spans="3:5" ht="14">
      <c r="C128" s="5"/>
      <c r="D128" s="29"/>
      <c r="E128" s="29"/>
    </row>
    <row r="129" spans="3:5" ht="14">
      <c r="C129" s="5"/>
      <c r="D129" s="29"/>
      <c r="E129" s="29"/>
    </row>
    <row r="130" spans="3:5" ht="14">
      <c r="C130" s="5"/>
      <c r="D130" s="29"/>
      <c r="E130" s="29"/>
    </row>
    <row r="131" spans="3:5" ht="14">
      <c r="C131" s="5"/>
      <c r="D131" s="29"/>
      <c r="E131" s="29"/>
    </row>
    <row r="132" spans="3:5" ht="14">
      <c r="C132" s="5"/>
      <c r="D132" s="29"/>
      <c r="E132" s="29"/>
    </row>
    <row r="133" spans="3:5" ht="14">
      <c r="C133" s="5"/>
      <c r="D133" s="29"/>
      <c r="E133" s="29"/>
    </row>
    <row r="134" spans="3:5" ht="14">
      <c r="C134" s="5"/>
      <c r="D134" s="29"/>
      <c r="E134" s="29"/>
    </row>
    <row r="135" spans="3:5" ht="14">
      <c r="C135" s="5"/>
      <c r="D135" s="29"/>
      <c r="E135" s="29"/>
    </row>
    <row r="136" spans="3:5" ht="14">
      <c r="C136" s="5"/>
      <c r="D136" s="29"/>
      <c r="E136" s="29"/>
    </row>
    <row r="137" spans="3:5" ht="14">
      <c r="C137" s="5"/>
      <c r="D137" s="29"/>
      <c r="E137" s="29"/>
    </row>
    <row r="138" spans="3:5" ht="14">
      <c r="C138" s="5"/>
      <c r="D138" s="29"/>
      <c r="E138" s="29"/>
    </row>
    <row r="139" spans="3:5" ht="14">
      <c r="C139" s="5"/>
      <c r="D139" s="29"/>
      <c r="E139" s="29"/>
    </row>
    <row r="140" spans="3:5" ht="14">
      <c r="C140" s="5"/>
      <c r="D140" s="29"/>
      <c r="E140" s="29"/>
    </row>
    <row r="141" spans="3:5" ht="14">
      <c r="C141" s="5"/>
      <c r="D141" s="29"/>
      <c r="E141" s="29"/>
    </row>
    <row r="142" spans="3:5" ht="14">
      <c r="C142" s="5"/>
      <c r="D142" s="29"/>
      <c r="E142" s="29"/>
    </row>
    <row r="143" spans="3:5" ht="14">
      <c r="C143" s="5"/>
      <c r="D143" s="29"/>
      <c r="E143" s="29"/>
    </row>
    <row r="144" spans="3:5" ht="14">
      <c r="C144" s="5"/>
      <c r="D144" s="29"/>
      <c r="E144" s="29"/>
    </row>
    <row r="145" spans="3:5" ht="14">
      <c r="C145" s="5"/>
      <c r="D145" s="29"/>
      <c r="E145" s="29"/>
    </row>
    <row r="146" spans="3:5" ht="14">
      <c r="C146" s="5"/>
      <c r="D146" s="29"/>
      <c r="E146" s="29"/>
    </row>
    <row r="147" spans="3:5" ht="14">
      <c r="C147" s="5"/>
      <c r="D147" s="29"/>
      <c r="E147" s="29"/>
    </row>
    <row r="148" spans="3:5" ht="14">
      <c r="C148" s="5"/>
      <c r="D148" s="29"/>
      <c r="E148" s="29"/>
    </row>
    <row r="149" spans="3:5" ht="14">
      <c r="C149" s="5"/>
      <c r="D149" s="29"/>
      <c r="E149" s="29"/>
    </row>
    <row r="150" spans="3:5" ht="14">
      <c r="C150" s="5"/>
      <c r="D150" s="29"/>
      <c r="E150" s="29"/>
    </row>
    <row r="151" spans="3:5" ht="14">
      <c r="C151" s="5"/>
      <c r="D151" s="29"/>
      <c r="E151" s="29"/>
    </row>
    <row r="152" spans="3:5" ht="14">
      <c r="C152" s="5"/>
      <c r="D152" s="29"/>
      <c r="E152" s="29"/>
    </row>
    <row r="153" spans="3:5" ht="14">
      <c r="C153" s="5"/>
      <c r="D153" s="29"/>
      <c r="E153" s="29"/>
    </row>
    <row r="154" spans="3:5" ht="14">
      <c r="C154" s="5"/>
      <c r="D154" s="29"/>
      <c r="E154" s="29"/>
    </row>
    <row r="155" spans="3:5" ht="14">
      <c r="C155" s="5"/>
      <c r="D155" s="29"/>
      <c r="E155" s="29"/>
    </row>
    <row r="156" spans="3:5" ht="14">
      <c r="C156" s="5"/>
      <c r="D156" s="29"/>
      <c r="E156" s="29"/>
    </row>
    <row r="157" spans="3:5" ht="14">
      <c r="C157" s="5"/>
      <c r="D157" s="29"/>
      <c r="E157" s="29"/>
    </row>
    <row r="158" spans="3:5" ht="14">
      <c r="C158" s="5"/>
      <c r="D158" s="29"/>
      <c r="E158" s="29"/>
    </row>
    <row r="159" spans="3:5" ht="14">
      <c r="C159" s="5"/>
      <c r="D159" s="29"/>
      <c r="E159" s="29"/>
    </row>
    <row r="160" spans="3:5" ht="14">
      <c r="C160" s="5"/>
      <c r="D160" s="29"/>
      <c r="E160" s="29"/>
    </row>
    <row r="161" spans="3:3" ht="14">
      <c r="C161" s="5"/>
    </row>
    <row r="162" spans="3:3" ht="14">
      <c r="C162" s="5"/>
    </row>
    <row r="163" spans="3:3" ht="14">
      <c r="C163" s="5"/>
    </row>
    <row r="164" spans="3:3" ht="14">
      <c r="C164" s="5"/>
    </row>
    <row r="165" spans="3:3" ht="14">
      <c r="C165" s="5"/>
    </row>
    <row r="166" spans="3:3" ht="14">
      <c r="C166" s="5"/>
    </row>
    <row r="167" spans="3:3" ht="14">
      <c r="C167" s="5"/>
    </row>
    <row r="168" spans="3:3" ht="14">
      <c r="C168" s="5"/>
    </row>
    <row r="169" spans="3:3" ht="14">
      <c r="C169" s="5"/>
    </row>
    <row r="170" spans="3:3" ht="14">
      <c r="C170" s="5"/>
    </row>
    <row r="171" spans="3:3" ht="14">
      <c r="C171" s="5"/>
    </row>
    <row r="172" spans="3:3" ht="14">
      <c r="C172" s="5"/>
    </row>
    <row r="173" spans="3:3" ht="14">
      <c r="C173" s="5"/>
    </row>
    <row r="174" spans="3:3" ht="14">
      <c r="C174" s="5"/>
    </row>
    <row r="175" spans="3:3" ht="14">
      <c r="C175" s="5"/>
    </row>
    <row r="176" spans="3:3" ht="14">
      <c r="C176" s="5"/>
    </row>
    <row r="177" spans="3:3" ht="14">
      <c r="C177" s="5"/>
    </row>
    <row r="178" spans="3:3" ht="14">
      <c r="C178" s="5"/>
    </row>
    <row r="179" spans="3:3" ht="14">
      <c r="C179" s="5"/>
    </row>
    <row r="180" spans="3:3" ht="14">
      <c r="C180" s="5"/>
    </row>
    <row r="181" spans="3:3" ht="14">
      <c r="C181" s="5"/>
    </row>
    <row r="182" spans="3:3" ht="14">
      <c r="C182" s="5"/>
    </row>
    <row r="183" spans="3:3" ht="14">
      <c r="C183" s="5"/>
    </row>
    <row r="184" spans="3:3" ht="14">
      <c r="C184" s="5"/>
    </row>
    <row r="185" spans="3:3" ht="14">
      <c r="C185" s="5"/>
    </row>
    <row r="186" spans="3:3" ht="14">
      <c r="C186" s="5"/>
    </row>
    <row r="187" spans="3:3" ht="14">
      <c r="C187" s="5"/>
    </row>
    <row r="188" spans="3:3" ht="14">
      <c r="C188" s="5"/>
    </row>
    <row r="189" spans="3:3" ht="14">
      <c r="C189" s="5"/>
    </row>
    <row r="190" spans="3:3" ht="14">
      <c r="C190" s="5"/>
    </row>
    <row r="191" spans="3:3" ht="14">
      <c r="C191" s="5"/>
    </row>
    <row r="192" spans="3:3" ht="14">
      <c r="C192" s="5"/>
    </row>
    <row r="193" spans="3:3" ht="14">
      <c r="C193" s="5"/>
    </row>
    <row r="194" spans="3:3" ht="14">
      <c r="C194" s="5"/>
    </row>
    <row r="195" spans="3:3" ht="14">
      <c r="C195" s="5"/>
    </row>
    <row r="196" spans="3:3" ht="14">
      <c r="C196" s="5"/>
    </row>
    <row r="197" spans="3:3" ht="14">
      <c r="C197" s="5"/>
    </row>
    <row r="198" spans="3:3" ht="14">
      <c r="C198" s="5"/>
    </row>
    <row r="199" spans="3:3" ht="14">
      <c r="C199" s="5"/>
    </row>
    <row r="200" spans="3:3" ht="14">
      <c r="C200" s="5"/>
    </row>
    <row r="201" spans="3:3" ht="14">
      <c r="C201" s="5"/>
    </row>
    <row r="202" spans="3:3" ht="14">
      <c r="C202" s="5"/>
    </row>
    <row r="203" spans="3:3" ht="14">
      <c r="C203" s="5"/>
    </row>
    <row r="204" spans="3:3" ht="14">
      <c r="C204" s="5"/>
    </row>
    <row r="205" spans="3:3" ht="14">
      <c r="C205" s="5"/>
    </row>
    <row r="206" spans="3:3" ht="14">
      <c r="C206" s="5"/>
    </row>
    <row r="207" spans="3:3" ht="14">
      <c r="C207" s="5"/>
    </row>
    <row r="208" spans="3:3" ht="14">
      <c r="C208" s="5"/>
    </row>
    <row r="209" spans="3:3" ht="14">
      <c r="C209" s="5"/>
    </row>
    <row r="210" spans="3:3" ht="14">
      <c r="C210" s="5"/>
    </row>
    <row r="211" spans="3:3" ht="14">
      <c r="C211" s="5"/>
    </row>
    <row r="212" spans="3:3" ht="14">
      <c r="C212" s="5"/>
    </row>
    <row r="213" spans="3:3" ht="14">
      <c r="C213" s="5"/>
    </row>
    <row r="214" spans="3:3" ht="14">
      <c r="C214" s="5"/>
    </row>
    <row r="215" spans="3:3" ht="14">
      <c r="C215" s="5"/>
    </row>
    <row r="216" spans="3:3" ht="14">
      <c r="C216" s="5"/>
    </row>
    <row r="217" spans="3:3" ht="14">
      <c r="C217" s="5"/>
    </row>
    <row r="218" spans="3:3" ht="14">
      <c r="C218" s="5"/>
    </row>
    <row r="219" spans="3:3" ht="14">
      <c r="C219" s="5"/>
    </row>
    <row r="220" spans="3:3" ht="14">
      <c r="C220" s="5"/>
    </row>
    <row r="221" spans="3:3" ht="14">
      <c r="C221" s="5"/>
    </row>
    <row r="222" spans="3:3" ht="14">
      <c r="C222" s="5"/>
    </row>
    <row r="223" spans="3:3" ht="14">
      <c r="C223" s="5"/>
    </row>
    <row r="224" spans="3:3" ht="14">
      <c r="C224" s="5"/>
    </row>
    <row r="225" spans="3:3" ht="14">
      <c r="C225" s="5"/>
    </row>
    <row r="226" spans="3:3" ht="14">
      <c r="C226" s="5"/>
    </row>
    <row r="227" spans="3:3" ht="14">
      <c r="C227" s="5"/>
    </row>
    <row r="228" spans="3:3" ht="14">
      <c r="C228" s="5"/>
    </row>
    <row r="229" spans="3:3" ht="14">
      <c r="C229" s="5"/>
    </row>
    <row r="230" spans="3:3" ht="14">
      <c r="C230" s="5"/>
    </row>
    <row r="231" spans="3:3" ht="14">
      <c r="C231" s="5"/>
    </row>
    <row r="232" spans="3:3" ht="14">
      <c r="C232" s="5"/>
    </row>
    <row r="233" spans="3:3" ht="14">
      <c r="C233" s="5"/>
    </row>
    <row r="234" spans="3:3" ht="14">
      <c r="C234" s="5"/>
    </row>
    <row r="235" spans="3:3" ht="14">
      <c r="C235" s="5"/>
    </row>
    <row r="236" spans="3:3" ht="14">
      <c r="C236" s="5"/>
    </row>
    <row r="237" spans="3:3" ht="14">
      <c r="C237" s="5"/>
    </row>
    <row r="238" spans="3:3" ht="14">
      <c r="C238" s="5"/>
    </row>
    <row r="239" spans="3:3" ht="14">
      <c r="C239" s="5"/>
    </row>
    <row r="240" spans="3:3" ht="14">
      <c r="C240" s="5"/>
    </row>
    <row r="241" spans="3:3" ht="14">
      <c r="C241" s="5"/>
    </row>
    <row r="242" spans="3:3" ht="14">
      <c r="C242" s="5"/>
    </row>
    <row r="243" spans="3:3" ht="14">
      <c r="C243" s="5"/>
    </row>
    <row r="244" spans="3:3" ht="14">
      <c r="C244" s="5"/>
    </row>
    <row r="245" spans="3:3" ht="14">
      <c r="C245" s="5"/>
    </row>
    <row r="246" spans="3:3" ht="14">
      <c r="C246" s="5"/>
    </row>
    <row r="247" spans="3:3" ht="14">
      <c r="C247" s="5"/>
    </row>
    <row r="248" spans="3:3" ht="14">
      <c r="C248" s="5"/>
    </row>
    <row r="249" spans="3:3" ht="14">
      <c r="C249" s="5"/>
    </row>
    <row r="250" spans="3:3" ht="14">
      <c r="C250" s="5"/>
    </row>
    <row r="251" spans="3:3" ht="14">
      <c r="C251" s="5"/>
    </row>
    <row r="252" spans="3:3" ht="14">
      <c r="C252" s="5"/>
    </row>
    <row r="253" spans="3:3" ht="14">
      <c r="C253" s="5"/>
    </row>
    <row r="254" spans="3:3" ht="14">
      <c r="C254" s="5"/>
    </row>
    <row r="255" spans="3:3" ht="14">
      <c r="C255" s="5"/>
    </row>
    <row r="256" spans="3:3" ht="14">
      <c r="C256" s="5"/>
    </row>
    <row r="257" spans="3:3" ht="14">
      <c r="C257" s="5"/>
    </row>
    <row r="258" spans="3:3" ht="14">
      <c r="C258" s="5"/>
    </row>
    <row r="259" spans="3:3" ht="14">
      <c r="C259" s="5"/>
    </row>
    <row r="260" spans="3:3" ht="14">
      <c r="C260" s="5"/>
    </row>
    <row r="261" spans="3:3" ht="14">
      <c r="C261" s="5"/>
    </row>
    <row r="262" spans="3:3" ht="14">
      <c r="C262" s="5"/>
    </row>
    <row r="263" spans="3:3" ht="14">
      <c r="C263" s="5"/>
    </row>
    <row r="264" spans="3:3" ht="14">
      <c r="C264" s="5"/>
    </row>
    <row r="265" spans="3:3" ht="14">
      <c r="C265" s="5"/>
    </row>
    <row r="266" spans="3:3" ht="14">
      <c r="C266" s="5"/>
    </row>
    <row r="267" spans="3:3" ht="14">
      <c r="C267" s="5"/>
    </row>
    <row r="268" spans="3:3" ht="14">
      <c r="C268" s="5"/>
    </row>
    <row r="269" spans="3:3" ht="14">
      <c r="C269" s="5"/>
    </row>
    <row r="270" spans="3:3" ht="14">
      <c r="C270" s="5"/>
    </row>
    <row r="271" spans="3:3" ht="14">
      <c r="C271" s="5"/>
    </row>
    <row r="272" spans="3:3" ht="14">
      <c r="C272" s="5"/>
    </row>
    <row r="273" spans="3:3" ht="14">
      <c r="C273" s="5"/>
    </row>
    <row r="274" spans="3:3" ht="14">
      <c r="C274" s="5"/>
    </row>
    <row r="275" spans="3:3" ht="14">
      <c r="C275" s="5"/>
    </row>
    <row r="276" spans="3:3" ht="14">
      <c r="C276" s="5"/>
    </row>
    <row r="277" spans="3:3" ht="14">
      <c r="C277" s="5"/>
    </row>
    <row r="278" spans="3:3" ht="14">
      <c r="C278" s="5"/>
    </row>
    <row r="279" spans="3:3" ht="14">
      <c r="C279" s="5"/>
    </row>
    <row r="280" spans="3:3" ht="14">
      <c r="C280" s="5"/>
    </row>
    <row r="281" spans="3:3" ht="14">
      <c r="C281" s="5"/>
    </row>
    <row r="282" spans="3:3" ht="14">
      <c r="C282" s="5"/>
    </row>
    <row r="283" spans="3:3" ht="14">
      <c r="C283" s="5"/>
    </row>
    <row r="284" spans="3:3" ht="14">
      <c r="C284" s="5"/>
    </row>
    <row r="285" spans="3:3" ht="14">
      <c r="C285" s="5"/>
    </row>
    <row r="286" spans="3:3" ht="14">
      <c r="C286" s="5"/>
    </row>
    <row r="287" spans="3:3" ht="14">
      <c r="C287" s="5"/>
    </row>
    <row r="288" spans="3:3" ht="14">
      <c r="C288" s="5"/>
    </row>
    <row r="289" spans="3:3" ht="14">
      <c r="C289" s="5"/>
    </row>
    <row r="290" spans="3:3" ht="14">
      <c r="C290" s="5"/>
    </row>
    <row r="291" spans="3:3" ht="14">
      <c r="C291" s="5"/>
    </row>
    <row r="292" spans="3:3" ht="14">
      <c r="C292" s="5"/>
    </row>
    <row r="293" spans="3:3" ht="14">
      <c r="C293" s="5"/>
    </row>
    <row r="294" spans="3:3" ht="14">
      <c r="C294" s="5"/>
    </row>
    <row r="295" spans="3:3" ht="14">
      <c r="C295" s="5"/>
    </row>
    <row r="296" spans="3:3" ht="14">
      <c r="C296" s="5"/>
    </row>
    <row r="297" spans="3:3" ht="14">
      <c r="C297" s="5"/>
    </row>
    <row r="298" spans="3:3" ht="14">
      <c r="C298" s="5"/>
    </row>
    <row r="299" spans="3:3" ht="14">
      <c r="C299" s="5"/>
    </row>
    <row r="300" spans="3:3" ht="14">
      <c r="C300" s="5"/>
    </row>
    <row r="301" spans="3:3" ht="14">
      <c r="C301" s="5"/>
    </row>
    <row r="302" spans="3:3" ht="14">
      <c r="C302" s="5"/>
    </row>
    <row r="303" spans="3:3" ht="14">
      <c r="C303" s="5"/>
    </row>
    <row r="304" spans="3:3" ht="14">
      <c r="C304" s="5"/>
    </row>
    <row r="305" spans="3:3" ht="14">
      <c r="C305" s="5"/>
    </row>
    <row r="306" spans="3:3" ht="14">
      <c r="C306" s="5"/>
    </row>
    <row r="307" spans="3:3" ht="14">
      <c r="C307" s="5"/>
    </row>
    <row r="308" spans="3:3" ht="14">
      <c r="C308" s="5"/>
    </row>
    <row r="309" spans="3:3" ht="14">
      <c r="C309" s="5"/>
    </row>
    <row r="310" spans="3:3" ht="14">
      <c r="C310" s="5"/>
    </row>
    <row r="311" spans="3:3" ht="14">
      <c r="C311" s="5"/>
    </row>
    <row r="312" spans="3:3" ht="14">
      <c r="C312" s="5"/>
    </row>
    <row r="313" spans="3:3" ht="14">
      <c r="C313" s="5"/>
    </row>
    <row r="314" spans="3:3" ht="14">
      <c r="C314" s="5"/>
    </row>
    <row r="315" spans="3:3" ht="14">
      <c r="C315" s="5"/>
    </row>
    <row r="316" spans="3:3" ht="14">
      <c r="C316" s="5"/>
    </row>
    <row r="317" spans="3:3" ht="14">
      <c r="C317" s="5"/>
    </row>
    <row r="318" spans="3:3" ht="14">
      <c r="C318" s="5"/>
    </row>
    <row r="319" spans="3:3" ht="14">
      <c r="C319" s="5"/>
    </row>
    <row r="320" spans="3:3" ht="14">
      <c r="C320" s="5"/>
    </row>
    <row r="321" spans="3:3" ht="14">
      <c r="C321" s="5"/>
    </row>
    <row r="322" spans="3:3" ht="14">
      <c r="C322" s="5"/>
    </row>
    <row r="323" spans="3:3" ht="14">
      <c r="C323" s="5"/>
    </row>
    <row r="324" spans="3:3" ht="14">
      <c r="C324" s="5"/>
    </row>
    <row r="325" spans="3:3" ht="14">
      <c r="C325" s="5"/>
    </row>
    <row r="326" spans="3:3" ht="14">
      <c r="C326" s="5"/>
    </row>
    <row r="327" spans="3:3" ht="14">
      <c r="C327" s="5"/>
    </row>
    <row r="328" spans="3:3" ht="14">
      <c r="C328" s="5"/>
    </row>
    <row r="329" spans="3:3" ht="14">
      <c r="C329" s="5"/>
    </row>
    <row r="330" spans="3:3" ht="14">
      <c r="C330" s="5"/>
    </row>
    <row r="331" spans="3:3" ht="14">
      <c r="C331" s="5"/>
    </row>
    <row r="332" spans="3:3" ht="14">
      <c r="C332" s="5"/>
    </row>
    <row r="333" spans="3:3" ht="14">
      <c r="C333" s="5"/>
    </row>
    <row r="334" spans="3:3" ht="14">
      <c r="C334" s="5"/>
    </row>
    <row r="335" spans="3:3" ht="14">
      <c r="C335" s="5"/>
    </row>
    <row r="336" spans="3:3" ht="14">
      <c r="C336" s="5"/>
    </row>
    <row r="337" spans="3:3" ht="14">
      <c r="C337" s="5"/>
    </row>
    <row r="338" spans="3:3" ht="14">
      <c r="C338" s="5"/>
    </row>
    <row r="339" spans="3:3" ht="14">
      <c r="C339" s="5"/>
    </row>
    <row r="340" spans="3:3" ht="14">
      <c r="C340" s="5"/>
    </row>
    <row r="341" spans="3:3" ht="14">
      <c r="C341" s="5"/>
    </row>
    <row r="342" spans="3:3" ht="14">
      <c r="C342" s="5"/>
    </row>
    <row r="343" spans="3:3" ht="14">
      <c r="C343" s="5"/>
    </row>
    <row r="344" spans="3:3" ht="14">
      <c r="C344" s="5"/>
    </row>
    <row r="345" spans="3:3" ht="14">
      <c r="C345" s="5"/>
    </row>
    <row r="346" spans="3:3" ht="14">
      <c r="C346" s="5"/>
    </row>
    <row r="347" spans="3:3" ht="14">
      <c r="C347" s="5"/>
    </row>
    <row r="348" spans="3:3" ht="14">
      <c r="C348" s="5"/>
    </row>
    <row r="349" spans="3:3" ht="14">
      <c r="C349" s="5"/>
    </row>
    <row r="350" spans="3:3" ht="14">
      <c r="C350" s="5"/>
    </row>
    <row r="351" spans="3:3" ht="14">
      <c r="C351" s="5"/>
    </row>
    <row r="352" spans="3:3" ht="14">
      <c r="C352" s="5"/>
    </row>
    <row r="353" spans="3:3" ht="14">
      <c r="C353" s="5"/>
    </row>
  </sheetData>
  <mergeCells count="1">
    <mergeCell ref="K4:O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metadata</vt:lpstr>
      <vt:lpstr>info</vt:lpstr>
      <vt:lpstr>contact</vt:lpstr>
      <vt:lpstr>details</vt:lpstr>
      <vt:lpstr>saveandemail</vt:lpstr>
      <vt:lpstr>molnify</vt:lpstr>
      <vt:lpstr>products</vt:lpstr>
      <vt:lpstr>discount_types</vt:lpstr>
      <vt:lpstr>pay_title_account</vt:lpstr>
      <vt:lpstr>pay_title_bank</vt:lpstr>
      <vt:lpstr>pay_title_holder</vt:lpstr>
      <vt:lpstr>pay_title_iban</vt:lpstr>
      <vt:lpstr>pay_title_sort</vt:lpstr>
      <vt:lpstr>pay_title_swift</vt:lpstr>
      <vt:lpstr>pick_product</vt:lpstr>
      <vt:lpstr>products</vt:lpstr>
      <vt:lpstr>show_ids</vt:lpstr>
      <vt:lpstr>show_thumbs</vt:lpstr>
      <vt:lpstr>user_email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Fredrik Juréen</cp:lastModifiedBy>
  <dcterms:created xsi:type="dcterms:W3CDTF">2022-04-20T07:56:14Z</dcterms:created>
  <dcterms:modified xsi:type="dcterms:W3CDTF">2022-05-23T10:40:33Z</dcterms:modified>
</cp:coreProperties>
</file>