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Volumes/GoogleDrive/My Drive/Molnify/Molnify stuff/Mattias Modeller/Reference models/"/>
    </mc:Choice>
  </mc:AlternateContent>
  <xr:revisionPtr revIDLastSave="0" documentId="13_ncr:1_{5BB4E385-E726-9543-9C34-822CB581494C}" xr6:coauthVersionLast="47" xr6:coauthVersionMax="47" xr10:uidLastSave="{00000000-0000-0000-0000-000000000000}"/>
  <bookViews>
    <workbookView xWindow="18980" yWindow="520" windowWidth="32860" windowHeight="198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1" l="1"/>
  <c r="B35" i="1"/>
  <c r="A35" i="1"/>
  <c r="D34" i="1"/>
  <c r="B34" i="1"/>
  <c r="A34" i="1"/>
  <c r="D33" i="1"/>
  <c r="B33" i="1"/>
  <c r="A33" i="1"/>
  <c r="P32" i="1"/>
  <c r="P31" i="1"/>
  <c r="D31" i="1"/>
  <c r="B31" i="1"/>
  <c r="A31" i="1"/>
  <c r="P30" i="1"/>
  <c r="D30" i="1"/>
  <c r="B30" i="1"/>
  <c r="A30" i="1"/>
  <c r="M29" i="1"/>
  <c r="M28" i="1"/>
  <c r="D28" i="1"/>
  <c r="B28" i="1"/>
  <c r="A28" i="1"/>
  <c r="K27" i="1"/>
  <c r="D27" i="1"/>
  <c r="B27" i="1"/>
  <c r="A27" i="1"/>
  <c r="D24" i="1"/>
  <c r="B24" i="1"/>
  <c r="A24" i="1"/>
  <c r="D23" i="1"/>
  <c r="B23" i="1"/>
  <c r="A23" i="1"/>
  <c r="N20" i="1"/>
  <c r="F20" i="1"/>
  <c r="E20" i="1"/>
  <c r="D20" i="1"/>
  <c r="B20" i="1"/>
  <c r="N19" i="1"/>
  <c r="N18" i="1"/>
  <c r="D18" i="1"/>
  <c r="B18" i="1"/>
  <c r="A18" i="1"/>
  <c r="B17" i="1"/>
  <c r="A17" i="1"/>
  <c r="E16" i="1"/>
  <c r="A16" i="1" s="1"/>
  <c r="D16" i="1"/>
  <c r="B16" i="1"/>
  <c r="E15" i="1"/>
  <c r="A15" i="1" s="1"/>
  <c r="D15" i="1"/>
  <c r="B15" i="1"/>
  <c r="D14" i="1"/>
  <c r="B14" i="1"/>
  <c r="A14" i="1"/>
  <c r="D12" i="1"/>
  <c r="D10" i="1"/>
  <c r="B10" i="1"/>
  <c r="A10" i="1"/>
  <c r="D9" i="1"/>
  <c r="B9" i="1"/>
  <c r="A9" i="1"/>
  <c r="D8" i="1"/>
  <c r="B8" i="1"/>
  <c r="A8" i="1"/>
  <c r="K5" i="1"/>
  <c r="D5" i="1"/>
  <c r="B5" i="1"/>
  <c r="A5" i="1"/>
  <c r="D4" i="1"/>
  <c r="B4" i="1"/>
  <c r="A4" i="1"/>
  <c r="F3" i="1"/>
  <c r="O10" i="1" l="1"/>
  <c r="K6" i="1"/>
  <c r="K14" i="1"/>
  <c r="F30" i="1"/>
  <c r="F10" i="1"/>
  <c r="K13" i="1"/>
  <c r="K21" i="1" l="1"/>
  <c r="F18" i="1"/>
  <c r="K16" i="1"/>
  <c r="K18" i="1" s="1"/>
  <c r="O8" i="1"/>
  <c r="F16" i="1"/>
  <c r="O11" i="1"/>
  <c r="O12" i="1" s="1"/>
  <c r="F14" i="1"/>
  <c r="K7" i="1" l="1"/>
  <c r="F15" i="1" s="1"/>
  <c r="O9" i="1"/>
  <c r="O14" i="1" s="1"/>
  <c r="F33" i="1"/>
  <c r="K8" i="1"/>
  <c r="K9" i="1" l="1"/>
  <c r="K17" i="1"/>
  <c r="P28" i="1"/>
  <c r="O18" i="1"/>
  <c r="K10" i="1"/>
  <c r="F34" i="1" l="1"/>
  <c r="F23" i="1"/>
  <c r="K19" i="1"/>
  <c r="P18" i="1"/>
  <c r="O20" i="1"/>
  <c r="N30" i="1"/>
  <c r="N28" i="1"/>
  <c r="N31" i="1"/>
  <c r="P29" i="1"/>
  <c r="N29" i="1" s="1"/>
  <c r="O19" i="1"/>
  <c r="P20" i="1" l="1"/>
  <c r="K30" i="1" s="1"/>
  <c r="F31" i="1"/>
  <c r="O21" i="1"/>
  <c r="P19" i="1"/>
  <c r="K29" i="1"/>
  <c r="F35" i="1" s="1"/>
  <c r="P21" i="1"/>
  <c r="K20" i="1"/>
  <c r="F24" i="1" s="1"/>
</calcChain>
</file>

<file path=xl/sharedStrings.xml><?xml version="1.0" encoding="utf-8"?>
<sst xmlns="http://schemas.openxmlformats.org/spreadsheetml/2006/main" count="150" uniqueCount="140">
  <si>
    <t>Helper cells for variables for PDF report</t>
  </si>
  <si>
    <t>Input title</t>
  </si>
  <si>
    <t>Input value</t>
  </si>
  <si>
    <t>UI-cell</t>
  </si>
  <si>
    <t>Column A and B is copied to index.html as sent to Molnify</t>
  </si>
  <si>
    <t>This app is built entirely in Excel, using perfectly standard Excel formulas. The purpose of the app is to show how an Excel file can easily become a stylish web app that can be shared with anyone through a web browser. Below you can count on a fictitious mortgage. You can save your calculation by clicking on the floppy disk icon and you can download your confirmation as PDF by clicking on "Create PDF". If you want to try creating your own apps with Molnify, go to &lt;a href='https://app.molnify.com' target='_blank'&gt;our website&lt;/a&gt; and register a free 14-day trial account.</t>
  </si>
  <si>
    <t>infotext;dividername=</t>
  </si>
  <si>
    <t>{{inputs.</t>
  </si>
  <si>
    <t>{{outputs.</t>
  </si>
  <si>
    <t>}}</t>
  </si>
  <si>
    <t>Total salary</t>
  </si>
  <si>
    <t>Calculations</t>
  </si>
  <si>
    <t>manadslon1</t>
  </si>
  <si>
    <t>Salary 1</t>
  </si>
  <si>
    <t>dividername=Your economy;postfix=SEK;variable=manadslon1</t>
  </si>
  <si>
    <t>manadslon2</t>
  </si>
  <si>
    <t>Salary 2</t>
  </si>
  <si>
    <t>postfix=SEK;variable=manadslon2</t>
  </si>
  <si>
    <t>Loan</t>
  </si>
  <si>
    <t>Amortring</t>
  </si>
  <si>
    <t>Loan-to-value ratio</t>
  </si>
  <si>
    <t>Lån</t>
  </si>
  <si>
    <t>Amortization requirements</t>
  </si>
  <si>
    <t>prispahus</t>
  </si>
  <si>
    <t>House price</t>
  </si>
  <si>
    <t>dividername=Your loan;delta=50000;postfix=SEK;variable=prispahus</t>
  </si>
  <si>
    <t>Interest expense</t>
  </si>
  <si>
    <t>Amortering</t>
  </si>
  <si>
    <t>kontantinstats</t>
  </si>
  <si>
    <t>Cash stake</t>
  </si>
  <si>
    <t>delta=50000;postfix=SEK;variable=kontantinstats</t>
  </si>
  <si>
    <t>Installment</t>
  </si>
  <si>
    <t>SEK per månad</t>
  </si>
  <si>
    <t>lan1</t>
  </si>
  <si>
    <t>html;hidecopy;amonginputs;variable=lan1</t>
  </si>
  <si>
    <t>Loan cost</t>
  </si>
  <si>
    <t>Lön vs lån</t>
  </si>
  <si>
    <t>Enter loan manually</t>
  </si>
  <si>
    <t>variable=manual</t>
  </si>
  <si>
    <t>lan2</t>
  </si>
  <si>
    <t>showifvariable=manual;showifvalue=TRUE;variable=lan2</t>
  </si>
  <si>
    <t>Interest expense per month</t>
  </si>
  <si>
    <t>lonvslan</t>
  </si>
  <si>
    <t>Salary vs loan</t>
  </si>
  <si>
    <t>html;hidecopy;amonginputs;variable=lonvslan</t>
  </si>
  <si>
    <t>Interest expense per year</t>
  </si>
  <si>
    <t>Totalt amortering</t>
  </si>
  <si>
    <t>amorteringskrav</t>
  </si>
  <si>
    <t>html;hidecopy;amonginputs;variable=amorteringskrav</t>
  </si>
  <si>
    <t>belaningsgrad</t>
  </si>
  <si>
    <t>html;hidecopy;amonginputs;variable=belaningsgrad</t>
  </si>
  <si>
    <t>Amortization %</t>
  </si>
  <si>
    <t>Possible table (color N17:P21 standard blue)</t>
  </si>
  <si>
    <t>ranta</t>
  </si>
  <si>
    <t>Interest</t>
  </si>
  <si>
    <t>variable=ranta</t>
  </si>
  <si>
    <t>Amortization per month</t>
  </si>
  <si>
    <t>Details</t>
  </si>
  <si>
    <t>Cost</t>
  </si>
  <si>
    <t>SEK per month</t>
  </si>
  <si>
    <t>SEK per year</t>
  </si>
  <si>
    <t>table</t>
  </si>
  <si>
    <t>rantekostnad1</t>
  </si>
  <si>
    <t>html;hidecopy;amonginputs;variable=rantekostnad1</t>
  </si>
  <si>
    <t>Amortization per year</t>
  </si>
  <si>
    <t>Interest deduction</t>
  </si>
  <si>
    <t>Mortgage cost per month</t>
  </si>
  <si>
    <t>Räntekostnad inkl avdrag</t>
  </si>
  <si>
    <t>rantekostnad2</t>
  </si>
  <si>
    <t>html;hidecopy;amonginputs;variable=rantekostnad2</t>
  </si>
  <si>
    <t>Mortgage cost per year</t>
  </si>
  <si>
    <t>After interest deductions per month</t>
  </si>
  <si>
    <t>&lt;b&gt;&lt;h5&gt;Total&lt;/b&gt;&lt;/h5&gt;</t>
  </si>
  <si>
    <t>amortering</t>
  </si>
  <si>
    <t>html;hidecopy;amonginputs;variable=amortering</t>
  </si>
  <si>
    <t>totalt1</t>
  </si>
  <si>
    <t>Total</t>
  </si>
  <si>
    <t>html;hidecopy;amonginputs;variable=totalt1</t>
  </si>
  <si>
    <t>A Pie chart</t>
  </si>
  <si>
    <t>kostnaddrift</t>
  </si>
  <si>
    <t>Cost operation</t>
  </si>
  <si>
    <t>postfix=SEK per month;variable=kostnaddrift</t>
  </si>
  <si>
    <t>Total operation per month</t>
  </si>
  <si>
    <t>Split</t>
  </si>
  <si>
    <t>%</t>
  </si>
  <si>
    <t>Calc cells for pie chart</t>
  </si>
  <si>
    <t>fastighetsavgift</t>
  </si>
  <si>
    <t>Property fee</t>
  </si>
  <si>
    <t>postfix=SEK per month;variable=fastighetsavgift</t>
  </si>
  <si>
    <t>Housing cost per month</t>
  </si>
  <si>
    <t>driftkostnad</t>
  </si>
  <si>
    <t>Operating cost</t>
  </si>
  <si>
    <t>html;hidecopy;amonginputs;variable=driftkostnad</t>
  </si>
  <si>
    <t>Housing cost per year</t>
  </si>
  <si>
    <t>Operations</t>
  </si>
  <si>
    <t>totalkostnad</t>
  </si>
  <si>
    <t>html;hidecopy;amonginputs;variable=totalkostnad</t>
  </si>
  <si>
    <t>lanplusdrift</t>
  </si>
  <si>
    <t>Interest expense / Operating cost</t>
  </si>
  <si>
    <t>icon=none;variable=lanplusdrift</t>
  </si>
  <si>
    <t>amorteringskostnad</t>
  </si>
  <si>
    <t>Amortization cost</t>
  </si>
  <si>
    <t>icon=none;variable=amorteringskostnad</t>
  </si>
  <si>
    <t>Meta data</t>
  </si>
  <si>
    <t>totalmanadskostnad</t>
  </si>
  <si>
    <t>Total monthly cost</t>
  </si>
  <si>
    <t>icon=none;variable=totalmanadskostnad</t>
  </si>
  <si>
    <t>Id</t>
  </si>
  <si>
    <t>Name</t>
  </si>
  <si>
    <t>Home loan calculator</t>
  </si>
  <si>
    <t>CSS</t>
  </si>
  <si>
    <t>#molnifyAppBody { background-size: cover; background-attachment: fixed; } #molnifyAppHtml h1 {font-family: 13px/20px 'PTSansRegular', Arial, Helvetica, sans-serif !important; color: #000000 !important; } body {background-color: #ffffff !important;} #molnifyAppHtml .header .container-fluid {background-color: #ffffff !important;} .info-text-below-divider &gt; *{ padding-top: 0 !important; } #molnifyAppHtml .content {margin-left: 0px !important; } #molnifyAppHtml .panel-title {color: #ffffff ; font-weight: bold; text-transform: uppercase;} #molnifyAppHtml .panel-heading { background-color: #00AA94 !important; } #molnifyAppHtml .panel-body, #molnifyAppHtml .tab-content{ background-color: #ffffff !important; } #molnifyAppHtml .btn-circle{border-radius: 0px !important;} #molnifyAppHtml .btn-default { background-color: #00AA94 !important; border-color :#ffffff !important; } #molnifyAppHtml .btn-default &gt; span { color: #ffffff !important; } #molnifyAppHtml .btn-default.active { background-color: #00AA94 !important; } #molnifyAppHtml .btn-default.active &gt; span { color: #000000 !important; } #molnifyAppHtml .btn.btn-sm.btn-icon {background-color: #00AA94 !important; color: #ffffff !important;} #molnifyAppHtml .option-set &gt; *:not(.active) { background-color: #00AA94 !important; border-color: #00AA94 !important; color: #ffffff !important; } #molnifyAppHtml .option-set &gt; .active { background-color: #ffffff !important; border-color: #00AA94 !important; color: #000000 !important;} #molnifyAppHtml .molnifyActionButton { background-color: #00AA94 !important; border-color: #00AA94 !important; color: #ffffff !important; } #molnifyAppHtml .btn-xs.btn-icon { color: #000000 !important; background-color: #E7F8F5 !important;} #molnifyAppHtml .switchery-options { color: #E7F8F5 !important; } #molnifyAppHtml .irs-min, #molnifyAppHtml .irs-max { background: #00AA94 !important; color: #ffffff !important; } #molnifyAppHtml .irs-single { background: #00AA94 !important; color: #ffffff !important; } #molnifyAppHtml .stats-info {color: #000000 ;} #molnifyAppHtml .stats-info h4 {color: #000000 !important; } #molnifyAppHtml .bg-green { background: #E7F8F5 !important; } #molnifyAppHtml .widget-stats .stats-icon { color: #000000 !important; } #molnifyAppHtml .panel {box-shadow: 0px 0px 10px 0px #7d7d7d } #molnifyAppHtml .nav-tabs &gt; li &gt; a {color: #ffffff ; font-weight: bold;} #molnifyAppHtml .nav-tabs &gt; li &gt; a:hover {color: #000000 !important; font-weight: bold; background-color: #ffffff !important; } #molnifyAppHtml .nav-tabs &gt; li.active &gt; a:not(:hover) {color: #000000 !important; font-weight: bold; background-color: #ffffff !important; } #molnifyAppHtml .prev-button .text-inverse:focus i, #molnifyAppHtml .prev-button .text-inverse:hover i, #molnifyAppHtml .next-button .text-inverse:focus i, #molnifyAppHtml .next-button .text-inverse:hover i { color: #000000 !important; background-color: #ffffff !important; } #molnifyAppHtml span.irs-bar, #molnifyAppHtml span.irs-bar-edge { background: #00AA94; } #molnifyAppHtml span.irs-line-left, #molnifyAppHtml span.irs-line-mid, #molnifyAppHtml span.irs-line-right { background: #E7F8F5; } #molnifyAppHtml .chart-series0 { color: #2F6A6F } #molnifyAppHtml .chart-series1 { color: #F5990F } #molnifyAppHtml .chart-series2 { color: #E7F8F5 } #molnifyAppHtml .chart-series3 { color: #cdaa7d } #molnifyAppHtml .chart-series4 { color: #8b7355 }</t>
  </si>
  <si>
    <t>InputPanelTitle</t>
  </si>
  <si>
    <t>Your conditions</t>
  </si>
  <si>
    <t>GenerateReport action - this creates the PDF</t>
  </si>
  <si>
    <t>OutputPanelTitle</t>
  </si>
  <si>
    <t>Monthly costs</t>
  </si>
  <si>
    <t>subject</t>
  </si>
  <si>
    <t>The report</t>
  </si>
  <si>
    <t>EnabledForSave</t>
  </si>
  <si>
    <t>type</t>
  </si>
  <si>
    <t>generatereport</t>
  </si>
  <si>
    <t>EnabledForReset</t>
  </si>
  <si>
    <t>filename</t>
  </si>
  <si>
    <t>Demo_lan.pdf</t>
  </si>
  <si>
    <t>InputPanelSmall</t>
  </si>
  <si>
    <t>template</t>
  </si>
  <si>
    <t>template-home-loan-eng</t>
  </si>
  <si>
    <t>InputPanelFixed</t>
  </si>
  <si>
    <t>to</t>
  </si>
  <si>
    <t>mattias@molnify.com;</t>
  </si>
  <si>
    <t>ParseAllSheets</t>
  </si>
  <si>
    <t>content</t>
  </si>
  <si>
    <t>Here's the link: {{urltoreport}}</t>
  </si>
  <si>
    <t>suppressdownload</t>
  </si>
  <si>
    <t>title</t>
  </si>
  <si>
    <t>Create PDF</t>
  </si>
  <si>
    <t>&lt;&lt;----------------------</t>
  </si>
  <si>
    <t>add your own ID here</t>
  </si>
  <si>
    <t>ATTENTION! The Generate File functrion requires a personal index.html file. It will not work if uploaded without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</si>
</sst>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theme="1"/>
      <name val="Arial"/>
      <family val="2"/>
    </font>
    <font>
      <sz val="10"/>
      <color theme="1"/>
      <name val="Arial"/>
      <family val="2"/>
    </font>
    <font>
      <sz val="11"/>
      <color rgb="FF000000"/>
      <name val="Inconsolata"/>
    </font>
    <font>
      <sz val="10"/>
      <color rgb="FFFFFFFF"/>
      <name val="Arial"/>
      <family val="2"/>
    </font>
    <font>
      <sz val="12"/>
      <color rgb="FF000000"/>
      <name val="Calibri"/>
      <family val="2"/>
    </font>
    <font>
      <u/>
      <sz val="12"/>
      <color rgb="FF0563C1"/>
      <name val="Calibri"/>
      <family val="2"/>
    </font>
    <font>
      <sz val="10"/>
      <color rgb="FF000000"/>
      <name val="Arial"/>
      <family val="2"/>
    </font>
    <font>
      <b/>
      <sz val="10"/>
      <color rgb="FF000000"/>
      <name val="Arial"/>
      <family val="2"/>
    </font>
  </fonts>
  <fills count="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9900FF"/>
        <bgColor rgb="FF9900FF"/>
      </patternFill>
    </fill>
    <fill>
      <patternFill patternType="solid">
        <fgColor rgb="FFFFFF00"/>
        <bgColor rgb="FFFFFF00"/>
      </patternFill>
    </fill>
    <fill>
      <patternFill patternType="solid">
        <fgColor rgb="FF00B050"/>
        <bgColor rgb="FF00FF00"/>
      </patternFill>
    </fill>
    <fill>
      <patternFill patternType="solid">
        <fgColor rgb="FF0070C0"/>
        <bgColor rgb="FF0000FF"/>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2">
    <xf numFmtId="0" fontId="0" fillId="0" borderId="0" xfId="0" applyFont="1" applyAlignment="1"/>
    <xf numFmtId="0" fontId="1" fillId="0" borderId="0" xfId="0" applyFont="1" applyAlignment="1"/>
    <xf numFmtId="0" fontId="2" fillId="0" borderId="0" xfId="0" applyFont="1" applyAlignment="1"/>
    <xf numFmtId="3" fontId="1" fillId="2" borderId="0" xfId="0" applyNumberFormat="1" applyFont="1" applyFill="1" applyAlignment="1">
      <alignment horizontal="right"/>
    </xf>
    <xf numFmtId="3" fontId="2" fillId="2" borderId="0" xfId="0" applyNumberFormat="1" applyFont="1" applyFill="1" applyAlignment="1">
      <alignment horizontal="right"/>
    </xf>
    <xf numFmtId="0" fontId="2" fillId="0" borderId="0" xfId="0" applyFont="1"/>
    <xf numFmtId="0" fontId="2" fillId="2" borderId="1" xfId="0" applyFont="1" applyFill="1" applyBorder="1" applyAlignment="1"/>
    <xf numFmtId="0" fontId="2" fillId="2" borderId="2" xfId="0" applyFont="1" applyFill="1" applyBorder="1" applyAlignment="1"/>
    <xf numFmtId="0" fontId="2" fillId="2" borderId="2" xfId="0" applyFont="1" applyFill="1" applyBorder="1"/>
    <xf numFmtId="0" fontId="2" fillId="0" borderId="3" xfId="0" applyFont="1" applyBorder="1"/>
    <xf numFmtId="0" fontId="2" fillId="0" borderId="1" xfId="0" applyFont="1" applyBorder="1"/>
    <xf numFmtId="0" fontId="2" fillId="0" borderId="2" xfId="0" applyFont="1" applyBorder="1"/>
    <xf numFmtId="0" fontId="3" fillId="3" borderId="0" xfId="0" applyFont="1" applyFill="1" applyAlignment="1"/>
    <xf numFmtId="0" fontId="2" fillId="2" borderId="4" xfId="0" applyFont="1" applyFill="1" applyBorder="1" applyAlignment="1"/>
    <xf numFmtId="0" fontId="2" fillId="2" borderId="0" xfId="0" applyFont="1" applyFill="1" applyAlignment="1"/>
    <xf numFmtId="3" fontId="2" fillId="2" borderId="0" xfId="0" applyNumberFormat="1" applyFont="1" applyFill="1" applyAlignment="1">
      <alignment horizontal="right"/>
    </xf>
    <xf numFmtId="0" fontId="2" fillId="0" borderId="5" xfId="0" applyFont="1" applyBorder="1"/>
    <xf numFmtId="0" fontId="2" fillId="0" borderId="4" xfId="0" applyFont="1" applyBorder="1"/>
    <xf numFmtId="10" fontId="2" fillId="2" borderId="0" xfId="0" applyNumberFormat="1" applyFont="1" applyFill="1" applyAlignment="1">
      <alignment horizontal="right"/>
    </xf>
    <xf numFmtId="9" fontId="2" fillId="0" borderId="0" xfId="0" applyNumberFormat="1" applyFont="1" applyAlignment="1"/>
    <xf numFmtId="0" fontId="2" fillId="2" borderId="4" xfId="0" applyFont="1" applyFill="1" applyBorder="1" applyAlignment="1"/>
    <xf numFmtId="9" fontId="2" fillId="2" borderId="0" xfId="0" applyNumberFormat="1" applyFont="1" applyFill="1"/>
    <xf numFmtId="0" fontId="2" fillId="0" borderId="0" xfId="0" applyFont="1" applyAlignment="1"/>
    <xf numFmtId="3" fontId="2" fillId="2" borderId="0" xfId="0" applyNumberFormat="1" applyFont="1" applyFill="1"/>
    <xf numFmtId="9" fontId="2" fillId="0" borderId="0" xfId="0" applyNumberFormat="1" applyFont="1"/>
    <xf numFmtId="2" fontId="2" fillId="2" borderId="0" xfId="0" applyNumberFormat="1" applyFont="1" applyFill="1"/>
    <xf numFmtId="2" fontId="2" fillId="0" borderId="0" xfId="0" applyNumberFormat="1" applyFont="1"/>
    <xf numFmtId="3" fontId="2" fillId="4" borderId="0" xfId="0" applyNumberFormat="1" applyFont="1" applyFill="1"/>
    <xf numFmtId="0" fontId="2" fillId="2" borderId="0" xfId="0" applyFont="1" applyFill="1" applyAlignment="1"/>
    <xf numFmtId="9" fontId="2" fillId="0" borderId="0" xfId="0" applyNumberFormat="1" applyFont="1" applyAlignment="1">
      <alignment horizontal="right"/>
    </xf>
    <xf numFmtId="10" fontId="2" fillId="0" borderId="0" xfId="0" applyNumberFormat="1" applyFont="1"/>
    <xf numFmtId="0" fontId="2" fillId="2" borderId="0" xfId="0" applyFont="1" applyFill="1"/>
    <xf numFmtId="0" fontId="2" fillId="4" borderId="0" xfId="0" applyFont="1" applyFill="1" applyAlignment="1"/>
    <xf numFmtId="0" fontId="2" fillId="4" borderId="0" xfId="0" applyFont="1" applyFill="1"/>
    <xf numFmtId="0" fontId="2" fillId="0" borderId="0" xfId="0" applyFont="1" applyAlignment="1"/>
    <xf numFmtId="0" fontId="2" fillId="0" borderId="6" xfId="0" applyFont="1" applyBorder="1"/>
    <xf numFmtId="0" fontId="2" fillId="0" borderId="7" xfId="0" applyFont="1" applyBorder="1"/>
    <xf numFmtId="0" fontId="2" fillId="0" borderId="8" xfId="0" applyFont="1" applyBorder="1"/>
    <xf numFmtId="10" fontId="2" fillId="4" borderId="0" xfId="0" applyNumberFormat="1" applyFont="1" applyFill="1"/>
    <xf numFmtId="9" fontId="2" fillId="2" borderId="0" xfId="0" applyNumberFormat="1" applyFont="1" applyFill="1" applyAlignment="1">
      <alignment horizontal="right"/>
    </xf>
    <xf numFmtId="0" fontId="2" fillId="2" borderId="0" xfId="0" applyFont="1" applyFill="1" applyAlignment="1"/>
    <xf numFmtId="3" fontId="2" fillId="2" borderId="0" xfId="0" applyNumberFormat="1" applyFont="1" applyFill="1" applyAlignment="1"/>
    <xf numFmtId="0" fontId="2" fillId="0" borderId="7" xfId="0" applyFont="1" applyBorder="1" applyAlignment="1"/>
    <xf numFmtId="0" fontId="2" fillId="2" borderId="7" xfId="0" applyFont="1" applyFill="1" applyBorder="1" applyAlignment="1"/>
    <xf numFmtId="0" fontId="2" fillId="0" borderId="2" xfId="0" applyFont="1" applyBorder="1" applyAlignment="1"/>
    <xf numFmtId="3" fontId="2" fillId="0" borderId="0" xfId="0" applyNumberFormat="1" applyFont="1"/>
    <xf numFmtId="0" fontId="2" fillId="0" borderId="7" xfId="0" applyFont="1" applyBorder="1" applyAlignment="1"/>
    <xf numFmtId="3" fontId="2" fillId="2" borderId="7" xfId="0" applyNumberFormat="1" applyFont="1" applyFill="1" applyBorder="1"/>
    <xf numFmtId="4" fontId="4" fillId="2" borderId="0" xfId="0" applyNumberFormat="1" applyFont="1" applyFill="1"/>
    <xf numFmtId="0" fontId="4" fillId="5" borderId="0" xfId="0" applyFont="1" applyFill="1" applyAlignment="1"/>
    <xf numFmtId="0" fontId="5" fillId="0" borderId="0" xfId="0" applyFont="1" applyAlignment="1"/>
    <xf numFmtId="0" fontId="5" fillId="6" borderId="0" xfId="0" applyFont="1" applyFill="1" applyAlignment="1"/>
    <xf numFmtId="0" fontId="6" fillId="6" borderId="0" xfId="0" applyFont="1" applyFill="1" applyAlignment="1"/>
    <xf numFmtId="0" fontId="5" fillId="6" borderId="0" xfId="0" applyFont="1" applyFill="1" applyAlignment="1">
      <alignment horizontal="center"/>
    </xf>
    <xf numFmtId="0" fontId="7" fillId="0" borderId="0" xfId="0" applyFont="1" applyAlignment="1"/>
    <xf numFmtId="3" fontId="2" fillId="7" borderId="0" xfId="0" applyNumberFormat="1" applyFont="1" applyFill="1" applyAlignment="1">
      <alignment horizontal="left"/>
    </xf>
    <xf numFmtId="0" fontId="2" fillId="7" borderId="0" xfId="0" applyFont="1" applyFill="1" applyAlignment="1"/>
    <xf numFmtId="3" fontId="2" fillId="7" borderId="0" xfId="0" applyNumberFormat="1" applyFont="1" applyFill="1" applyAlignment="1">
      <alignment horizontal="right"/>
    </xf>
    <xf numFmtId="10" fontId="2" fillId="7" borderId="0" xfId="0" applyNumberFormat="1" applyFont="1" applyFill="1" applyAlignment="1">
      <alignment horizontal="right"/>
    </xf>
    <xf numFmtId="0" fontId="2" fillId="7" borderId="0" xfId="0" applyFont="1" applyFill="1" applyAlignment="1">
      <alignment horizontal="center"/>
    </xf>
    <xf numFmtId="0" fontId="8" fillId="0" borderId="0" xfId="0" applyFont="1" applyAlignment="1"/>
    <xf numFmtId="4" fontId="4" fillId="8"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ttias@molnif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47"/>
  <sheetViews>
    <sheetView tabSelected="1" workbookViewId="0">
      <selection activeCell="I36" sqref="I36"/>
    </sheetView>
  </sheetViews>
  <sheetFormatPr baseColWidth="10" defaultColWidth="14.5" defaultRowHeight="15.75" customHeight="1" x14ac:dyDescent="0.15"/>
  <sheetData>
    <row r="1" spans="1:17" ht="15.75" customHeight="1" x14ac:dyDescent="0.15">
      <c r="A1" s="1" t="s">
        <v>0</v>
      </c>
      <c r="B1" s="2"/>
      <c r="C1" s="2"/>
      <c r="E1" s="1" t="s">
        <v>1</v>
      </c>
      <c r="F1" s="3" t="s">
        <v>2</v>
      </c>
      <c r="G1" s="1" t="s">
        <v>3</v>
      </c>
      <c r="N1" s="2"/>
    </row>
    <row r="2" spans="1:17" ht="15.75" customHeight="1" x14ac:dyDescent="0.15">
      <c r="A2" s="1" t="s">
        <v>4</v>
      </c>
      <c r="B2" s="2"/>
      <c r="C2" s="2"/>
      <c r="E2" s="2"/>
      <c r="F2" s="55" t="s">
        <v>5</v>
      </c>
      <c r="G2" s="2" t="s">
        <v>6</v>
      </c>
      <c r="N2" s="2"/>
    </row>
    <row r="3" spans="1:17" ht="15.75" customHeight="1" x14ac:dyDescent="0.15">
      <c r="A3" s="2" t="s">
        <v>7</v>
      </c>
      <c r="B3" s="2" t="s">
        <v>8</v>
      </c>
      <c r="C3" s="2" t="s">
        <v>9</v>
      </c>
      <c r="E3" s="2" t="s">
        <v>10</v>
      </c>
      <c r="F3" s="4">
        <f>SUM(F4:F5)</f>
        <v>75000</v>
      </c>
      <c r="I3" s="1" t="s">
        <v>11</v>
      </c>
      <c r="M3" s="1" t="s">
        <v>11</v>
      </c>
    </row>
    <row r="4" spans="1:17" ht="15.75" customHeight="1" x14ac:dyDescent="0.15">
      <c r="A4" s="5" t="str">
        <f t="shared" ref="A4:A5" si="0">E4</f>
        <v>Salary 1</v>
      </c>
      <c r="B4" s="5" t="str">
        <f t="shared" ref="B4:B5" si="1">$A$3&amp;C4&amp;$C$3</f>
        <v>{{inputs.manadslon1}}</v>
      </c>
      <c r="C4" s="2" t="s">
        <v>12</v>
      </c>
      <c r="D4" s="5" t="str">
        <f t="shared" ref="D4:D5" si="2">";"</f>
        <v>;</v>
      </c>
      <c r="E4" s="2" t="s">
        <v>13</v>
      </c>
      <c r="F4" s="56">
        <v>40000</v>
      </c>
      <c r="G4" s="5" t="s">
        <v>14</v>
      </c>
      <c r="I4" s="6"/>
      <c r="J4" s="7"/>
      <c r="K4" s="8"/>
      <c r="L4" s="9"/>
      <c r="M4" s="10"/>
      <c r="N4" s="11"/>
      <c r="O4" s="11"/>
      <c r="P4" s="11"/>
      <c r="Q4" s="9"/>
    </row>
    <row r="5" spans="1:17" ht="15.75" customHeight="1" x14ac:dyDescent="0.15">
      <c r="A5" s="5" t="str">
        <f t="shared" si="0"/>
        <v>Salary 2</v>
      </c>
      <c r="B5" s="5" t="str">
        <f t="shared" si="1"/>
        <v>{{inputs.manadslon2}}</v>
      </c>
      <c r="C5" s="2" t="s">
        <v>15</v>
      </c>
      <c r="D5" s="5" t="str">
        <f t="shared" si="2"/>
        <v>;</v>
      </c>
      <c r="E5" s="2" t="s">
        <v>16</v>
      </c>
      <c r="F5" s="56">
        <v>35000</v>
      </c>
      <c r="G5" s="5" t="s">
        <v>17</v>
      </c>
      <c r="H5" s="12"/>
      <c r="I5" s="13"/>
      <c r="J5" s="14" t="s">
        <v>18</v>
      </c>
      <c r="K5" s="15">
        <f>IF(AND(F11,F12&gt;0),F12, F8-F9)</f>
        <v>4200000</v>
      </c>
      <c r="L5" s="16"/>
      <c r="M5" s="17"/>
      <c r="N5" s="2" t="s">
        <v>19</v>
      </c>
      <c r="Q5" s="16"/>
    </row>
    <row r="6" spans="1:17" ht="15.75" customHeight="1" x14ac:dyDescent="0.15">
      <c r="I6" s="13"/>
      <c r="J6" s="14" t="s">
        <v>20</v>
      </c>
      <c r="K6" s="18">
        <f>(K5/F8)</f>
        <v>0.7</v>
      </c>
      <c r="L6" s="16"/>
      <c r="M6" s="17"/>
      <c r="N6" s="2" t="s">
        <v>21</v>
      </c>
      <c r="O6" s="19">
        <v>0.7</v>
      </c>
      <c r="P6" s="19">
        <v>0.02</v>
      </c>
      <c r="Q6" s="16"/>
    </row>
    <row r="7" spans="1:17" ht="15.75" customHeight="1" x14ac:dyDescent="0.15">
      <c r="I7" s="20"/>
      <c r="J7" s="14" t="s">
        <v>22</v>
      </c>
      <c r="K7" s="21">
        <f>O8+O11</f>
        <v>0.02</v>
      </c>
      <c r="L7" s="16"/>
      <c r="M7" s="17"/>
      <c r="N7" s="2" t="s">
        <v>21</v>
      </c>
      <c r="O7" s="19">
        <v>0.5</v>
      </c>
      <c r="P7" s="19">
        <v>0.01</v>
      </c>
      <c r="Q7" s="16"/>
    </row>
    <row r="8" spans="1:17" ht="15.75" customHeight="1" x14ac:dyDescent="0.15">
      <c r="A8" s="5" t="str">
        <f t="shared" ref="A8:A10" si="3">E8</f>
        <v>House price</v>
      </c>
      <c r="B8" s="5" t="str">
        <f t="shared" ref="B8:B9" si="4">$A$3&amp;C8&amp;$C$3</f>
        <v>{{inputs.prispahus}}</v>
      </c>
      <c r="C8" s="2" t="s">
        <v>23</v>
      </c>
      <c r="D8" s="5" t="str">
        <f t="shared" ref="D8:D10" si="5">";"</f>
        <v>;</v>
      </c>
      <c r="E8" s="22" t="s">
        <v>24</v>
      </c>
      <c r="F8" s="57">
        <v>6000000</v>
      </c>
      <c r="G8" s="5" t="s">
        <v>25</v>
      </c>
      <c r="H8" s="22"/>
      <c r="I8" s="20"/>
      <c r="J8" s="14" t="s">
        <v>26</v>
      </c>
      <c r="K8" s="23">
        <f>K21</f>
        <v>4900</v>
      </c>
      <c r="L8" s="16"/>
      <c r="M8" s="17"/>
      <c r="N8" s="2" t="s">
        <v>27</v>
      </c>
      <c r="O8" s="24">
        <f>IF(K6&gt;O6,P6,IF(K6&gt;O7,P7,0))</f>
        <v>0.01</v>
      </c>
      <c r="Q8" s="16"/>
    </row>
    <row r="9" spans="1:17" ht="15.75" customHeight="1" x14ac:dyDescent="0.15">
      <c r="A9" s="5" t="str">
        <f t="shared" si="3"/>
        <v>Cash stake</v>
      </c>
      <c r="B9" s="5" t="str">
        <f t="shared" si="4"/>
        <v>{{inputs.kontantinstats}}</v>
      </c>
      <c r="C9" s="2" t="s">
        <v>28</v>
      </c>
      <c r="D9" s="5" t="str">
        <f t="shared" si="5"/>
        <v>;</v>
      </c>
      <c r="E9" s="22" t="s">
        <v>29</v>
      </c>
      <c r="F9" s="57">
        <v>1800000</v>
      </c>
      <c r="G9" s="5" t="s">
        <v>30</v>
      </c>
      <c r="H9" s="22"/>
      <c r="I9" s="20"/>
      <c r="J9" s="14" t="s">
        <v>31</v>
      </c>
      <c r="K9" s="25">
        <f>O14</f>
        <v>7000</v>
      </c>
      <c r="L9" s="16"/>
      <c r="M9" s="17"/>
      <c r="N9" s="2" t="s">
        <v>32</v>
      </c>
      <c r="O9" s="26">
        <f>K5*O8/12</f>
        <v>3500</v>
      </c>
      <c r="Q9" s="16"/>
    </row>
    <row r="10" spans="1:17" ht="15.75" customHeight="1" x14ac:dyDescent="0.15">
      <c r="A10" s="5" t="str">
        <f t="shared" si="3"/>
        <v>Loan</v>
      </c>
      <c r="B10" s="5" t="str">
        <f>$B$3&amp;C10&amp;$C$3</f>
        <v>{{outputs.lan1}}</v>
      </c>
      <c r="C10" s="2" t="s">
        <v>33</v>
      </c>
      <c r="D10" s="5" t="str">
        <f t="shared" si="5"/>
        <v>;</v>
      </c>
      <c r="E10" s="2" t="s">
        <v>18</v>
      </c>
      <c r="F10" s="27">
        <f>K5</f>
        <v>4200000</v>
      </c>
      <c r="G10" s="5" t="s">
        <v>34</v>
      </c>
      <c r="H10" s="22"/>
      <c r="I10" s="20"/>
      <c r="J10" s="14" t="s">
        <v>35</v>
      </c>
      <c r="K10" s="23">
        <f>SUM(K8:K9)</f>
        <v>11900</v>
      </c>
      <c r="L10" s="16"/>
      <c r="M10" s="17"/>
      <c r="N10" s="2" t="s">
        <v>36</v>
      </c>
      <c r="O10" s="26">
        <f>K5/(F3*12)</f>
        <v>4.666666666666667</v>
      </c>
      <c r="Q10" s="16"/>
    </row>
    <row r="11" spans="1:17" ht="15.75" customHeight="1" x14ac:dyDescent="0.15">
      <c r="E11" s="2" t="s">
        <v>37</v>
      </c>
      <c r="F11" s="56" t="b">
        <v>0</v>
      </c>
      <c r="G11" s="2" t="s">
        <v>38</v>
      </c>
      <c r="I11" s="13"/>
      <c r="J11" s="28"/>
      <c r="K11" s="29">
        <v>0.3</v>
      </c>
      <c r="L11" s="16"/>
      <c r="M11" s="17"/>
      <c r="N11" s="2" t="s">
        <v>27</v>
      </c>
      <c r="O11" s="30">
        <f>IF(O10&gt;4.5,1%,0%)</f>
        <v>0.01</v>
      </c>
      <c r="Q11" s="16"/>
    </row>
    <row r="12" spans="1:17" ht="15.75" customHeight="1" x14ac:dyDescent="0.15">
      <c r="C12" s="2" t="s">
        <v>39</v>
      </c>
      <c r="D12" s="5" t="str">
        <f>";"</f>
        <v>;</v>
      </c>
      <c r="E12" s="2" t="s">
        <v>18</v>
      </c>
      <c r="F12" s="56">
        <v>0</v>
      </c>
      <c r="G12" s="5" t="s">
        <v>40</v>
      </c>
      <c r="I12" s="13"/>
      <c r="J12" s="28"/>
      <c r="K12" s="31"/>
      <c r="L12" s="16"/>
      <c r="M12" s="17"/>
      <c r="N12" s="2" t="s">
        <v>32</v>
      </c>
      <c r="O12" s="26">
        <f>K5*O11/12</f>
        <v>3500</v>
      </c>
      <c r="Q12" s="16"/>
    </row>
    <row r="13" spans="1:17" ht="15.75" customHeight="1" x14ac:dyDescent="0.15">
      <c r="I13" s="17"/>
      <c r="J13" s="22" t="s">
        <v>41</v>
      </c>
      <c r="K13" s="15">
        <f>K5*F17/12</f>
        <v>4900</v>
      </c>
      <c r="L13" s="16"/>
      <c r="M13" s="17"/>
      <c r="Q13" s="16"/>
    </row>
    <row r="14" spans="1:17" ht="15.75" customHeight="1" x14ac:dyDescent="0.15">
      <c r="A14" s="5" t="str">
        <f t="shared" ref="A14:A18" si="6">E14</f>
        <v>Salary vs loan</v>
      </c>
      <c r="B14" s="5" t="str">
        <f t="shared" ref="B14:B16" si="7">$B$3&amp;C14&amp;$C$3</f>
        <v>{{outputs.lonvslan}}</v>
      </c>
      <c r="C14" s="2" t="s">
        <v>42</v>
      </c>
      <c r="D14" s="5" t="str">
        <f t="shared" ref="D14:D16" si="8">";"</f>
        <v>;</v>
      </c>
      <c r="E14" s="22" t="s">
        <v>43</v>
      </c>
      <c r="F14" s="32" t="str">
        <f>ROUND(O10,1)&amp;" * total annual income"</f>
        <v>4,7 * total annual income</v>
      </c>
      <c r="G14" s="5" t="s">
        <v>44</v>
      </c>
      <c r="H14" s="22"/>
      <c r="I14" s="17"/>
      <c r="J14" s="22" t="s">
        <v>45</v>
      </c>
      <c r="K14" s="15">
        <f>K5*F17</f>
        <v>58800</v>
      </c>
      <c r="L14" s="16"/>
      <c r="M14" s="17"/>
      <c r="N14" s="2" t="s">
        <v>46</v>
      </c>
      <c r="O14" s="26">
        <f>O12+O9</f>
        <v>7000</v>
      </c>
      <c r="Q14" s="16"/>
    </row>
    <row r="15" spans="1:17" ht="15.75" customHeight="1" x14ac:dyDescent="0.15">
      <c r="A15" s="5" t="str">
        <f t="shared" si="6"/>
        <v>Amortization requirements</v>
      </c>
      <c r="B15" s="5" t="str">
        <f t="shared" si="7"/>
        <v>{{outputs.amorteringskrav}}</v>
      </c>
      <c r="C15" s="2" t="s">
        <v>47</v>
      </c>
      <c r="D15" s="5" t="str">
        <f t="shared" si="8"/>
        <v>;</v>
      </c>
      <c r="E15" s="5" t="str">
        <f>J7</f>
        <v>Amortization requirements</v>
      </c>
      <c r="F15" s="33" t="str">
        <f>IFERROR(K7*100&amp;"% ("&amp;O8*100&amp;"% loan + "&amp;O11*100&amp;"% salary)",0)</f>
        <v>2% (1% loan + 1% salary)</v>
      </c>
      <c r="G15" s="5" t="s">
        <v>48</v>
      </c>
      <c r="H15" s="22"/>
      <c r="I15" s="17"/>
      <c r="J15" s="34"/>
      <c r="K15" s="28"/>
      <c r="L15" s="16"/>
      <c r="M15" s="35"/>
      <c r="N15" s="36"/>
      <c r="O15" s="36"/>
      <c r="P15" s="36"/>
      <c r="Q15" s="37"/>
    </row>
    <row r="16" spans="1:17" ht="15.75" customHeight="1" x14ac:dyDescent="0.15">
      <c r="A16" s="5" t="str">
        <f t="shared" si="6"/>
        <v>Loan-to-value ratio</v>
      </c>
      <c r="B16" s="5" t="str">
        <f t="shared" si="7"/>
        <v>{{outputs.belaningsgrad}}</v>
      </c>
      <c r="C16" s="2" t="s">
        <v>49</v>
      </c>
      <c r="D16" s="5" t="str">
        <f t="shared" si="8"/>
        <v>;</v>
      </c>
      <c r="E16" s="5" t="str">
        <f t="shared" ref="E16:F16" si="9">J6</f>
        <v>Loan-to-value ratio</v>
      </c>
      <c r="F16" s="38">
        <f t="shared" si="9"/>
        <v>0.7</v>
      </c>
      <c r="G16" s="5" t="s">
        <v>50</v>
      </c>
      <c r="H16" s="22"/>
      <c r="I16" s="17"/>
      <c r="J16" s="22" t="s">
        <v>51</v>
      </c>
      <c r="K16" s="39">
        <f>IF(K6&gt;64.99, 1%,2%)</f>
        <v>0.02</v>
      </c>
      <c r="L16" s="16"/>
      <c r="M16" s="1" t="s">
        <v>52</v>
      </c>
    </row>
    <row r="17" spans="1:17" ht="15.75" customHeight="1" x14ac:dyDescent="0.15">
      <c r="A17" s="5" t="str">
        <f t="shared" si="6"/>
        <v>Interest</v>
      </c>
      <c r="B17" s="5" t="str">
        <f>$A$3&amp;C17&amp;$C$3</f>
        <v>{{inputs.ranta}}</v>
      </c>
      <c r="C17" s="2" t="s">
        <v>53</v>
      </c>
      <c r="E17" s="22" t="s">
        <v>54</v>
      </c>
      <c r="F17" s="58">
        <v>1.4E-2</v>
      </c>
      <c r="G17" s="5" t="s">
        <v>55</v>
      </c>
      <c r="I17" s="17"/>
      <c r="J17" s="22" t="s">
        <v>56</v>
      </c>
      <c r="K17" s="15">
        <f>IFERROR(O14,0)</f>
        <v>7000</v>
      </c>
      <c r="L17" s="16"/>
      <c r="M17" s="2" t="s">
        <v>57</v>
      </c>
      <c r="N17" s="40" t="s">
        <v>58</v>
      </c>
      <c r="O17" s="40" t="s">
        <v>59</v>
      </c>
      <c r="P17" s="40" t="s">
        <v>60</v>
      </c>
      <c r="Q17" s="40" t="s">
        <v>61</v>
      </c>
    </row>
    <row r="18" spans="1:17" ht="15.75" customHeight="1" x14ac:dyDescent="0.15">
      <c r="A18" s="5" t="str">
        <f t="shared" si="6"/>
        <v>Interest expense</v>
      </c>
      <c r="B18" s="5" t="str">
        <f>$B$3&amp;C18&amp;$C$3</f>
        <v>{{outputs.rantekostnad1}}</v>
      </c>
      <c r="C18" s="2" t="s">
        <v>62</v>
      </c>
      <c r="D18" s="5" t="str">
        <f>";"</f>
        <v>;</v>
      </c>
      <c r="E18" s="2" t="s">
        <v>26</v>
      </c>
      <c r="F18" s="33" t="str">
        <f>TEXT(ROUND(K13,0),"### ###")&amp;" per month / "&amp;TEXT(ROUND(K14,0),"### ###")&amp;" per year"</f>
        <v>4 900 per month / 58 800 per year</v>
      </c>
      <c r="G18" s="5" t="s">
        <v>63</v>
      </c>
      <c r="H18" s="22"/>
      <c r="I18" s="17"/>
      <c r="J18" s="22" t="s">
        <v>64</v>
      </c>
      <c r="K18" s="15">
        <f>K5*K16</f>
        <v>84000</v>
      </c>
      <c r="L18" s="16"/>
      <c r="N18" s="31" t="str">
        <f t="shared" ref="N18:O18" si="10">J8</f>
        <v>Interest expense</v>
      </c>
      <c r="O18" s="23">
        <f t="shared" si="10"/>
        <v>4900</v>
      </c>
      <c r="P18" s="23">
        <f t="shared" ref="P18:P20" si="11">O18*12</f>
        <v>58800</v>
      </c>
      <c r="Q18" s="31"/>
    </row>
    <row r="19" spans="1:17" ht="15.75" customHeight="1" x14ac:dyDescent="0.15">
      <c r="E19" s="22" t="s">
        <v>65</v>
      </c>
      <c r="F19" s="59" t="b">
        <v>0</v>
      </c>
      <c r="I19" s="17"/>
      <c r="J19" s="22" t="s">
        <v>66</v>
      </c>
      <c r="K19" s="15">
        <f>K17+IF(F19,K21,K13)</f>
        <v>11900</v>
      </c>
      <c r="L19" s="16"/>
      <c r="N19" s="31" t="str">
        <f t="shared" ref="N19:O19" si="12">J9</f>
        <v>Installment</v>
      </c>
      <c r="O19" s="23">
        <f t="shared" si="12"/>
        <v>7000</v>
      </c>
      <c r="P19" s="23">
        <f t="shared" si="11"/>
        <v>84000</v>
      </c>
      <c r="Q19" s="31"/>
    </row>
    <row r="20" spans="1:17" ht="15.75" customHeight="1" x14ac:dyDescent="0.15">
      <c r="A20" s="2" t="s">
        <v>67</v>
      </c>
      <c r="B20" s="5" t="str">
        <f>$B$3&amp;C20&amp;$C$3</f>
        <v>{{outputs.rantekostnad2}}</v>
      </c>
      <c r="C20" s="2" t="s">
        <v>68</v>
      </c>
      <c r="D20" s="5" t="str">
        <f>";"</f>
        <v>;</v>
      </c>
      <c r="E20" s="2" t="str">
        <f>IF(F19,"Interest expense including deductions","")</f>
        <v/>
      </c>
      <c r="F20" s="33" t="str">
        <f>IF(F19, TEXT(ROUND(K21,0),"### ###")&amp;" per month / "&amp;TEXT(ROUND(K21,0)*12,"### ###")&amp;" per year","")</f>
        <v/>
      </c>
      <c r="G20" s="5" t="s">
        <v>69</v>
      </c>
      <c r="H20" s="22"/>
      <c r="I20" s="17"/>
      <c r="J20" s="22" t="s">
        <v>70</v>
      </c>
      <c r="K20" s="15">
        <f>K19*12</f>
        <v>142800</v>
      </c>
      <c r="L20" s="16"/>
      <c r="N20" s="31" t="str">
        <f>J29</f>
        <v>Housing cost per month</v>
      </c>
      <c r="O20" s="23">
        <f>K27+SUM(O18:O19)</f>
        <v>16900</v>
      </c>
      <c r="P20" s="23">
        <f t="shared" si="11"/>
        <v>202800</v>
      </c>
      <c r="Q20" s="31"/>
    </row>
    <row r="21" spans="1:17" ht="15.75" customHeight="1" x14ac:dyDescent="0.15">
      <c r="I21" s="17"/>
      <c r="J21" s="22" t="s">
        <v>71</v>
      </c>
      <c r="K21" s="41">
        <f>IF(F19,K13-(K13*K11),K13)</f>
        <v>4900</v>
      </c>
      <c r="L21" s="16"/>
      <c r="N21" s="40" t="s">
        <v>72</v>
      </c>
      <c r="O21" s="23" t="str">
        <f>"&lt;b&gt;&lt;h5&gt;"&amp;TEXT(ROUND(SUM(O18:O20),1),"### ###")&amp;"&lt;/b&gt;&lt;/h5&gt;"</f>
        <v>&lt;b&gt;&lt;h5&gt;28 800&lt;/b&gt;&lt;/h5&gt;</v>
      </c>
      <c r="P21" s="23" t="str">
        <f>"&lt;b&gt;&lt;h5&gt;"&amp;TEXT(ROUND(SUM(O18:O20)*12,1),"### ###")&amp;"&lt;/b&gt;&lt;/h5&gt;"</f>
        <v>&lt;b&gt;&lt;h5&gt;345 600&lt;/b&gt;&lt;/h5&gt;</v>
      </c>
      <c r="Q21" s="31"/>
    </row>
    <row r="22" spans="1:17" ht="15.75" customHeight="1" x14ac:dyDescent="0.15">
      <c r="I22" s="35"/>
      <c r="J22" s="42"/>
      <c r="K22" s="43"/>
      <c r="L22" s="37"/>
      <c r="N22" s="40"/>
      <c r="O22" s="40"/>
    </row>
    <row r="23" spans="1:17" ht="15.75" customHeight="1" x14ac:dyDescent="0.15">
      <c r="A23" s="5" t="str">
        <f t="shared" ref="A23:A24" si="13">E23</f>
        <v>Installment</v>
      </c>
      <c r="B23" s="5" t="str">
        <f t="shared" ref="B23:B24" si="14">$B$3&amp;C23&amp;$C$3</f>
        <v>{{outputs.amortering}}</v>
      </c>
      <c r="C23" s="2" t="s">
        <v>73</v>
      </c>
      <c r="D23" s="5" t="str">
        <f t="shared" ref="D23:D24" si="15">";"</f>
        <v>;</v>
      </c>
      <c r="E23" s="2" t="s">
        <v>31</v>
      </c>
      <c r="F23" s="33" t="str">
        <f>TEXT(ROUND(K17,0),"### ###")&amp;" per month / "&amp;TEXT(ROUND(K18,0),"### ###")&amp;" per year"</f>
        <v>7 000 per month / 84 000 per year</v>
      </c>
      <c r="G23" s="5" t="s">
        <v>74</v>
      </c>
      <c r="H23" s="22"/>
      <c r="I23" s="10"/>
      <c r="J23" s="44"/>
      <c r="K23" s="7"/>
      <c r="L23" s="9"/>
      <c r="N23" s="40"/>
      <c r="O23" s="40"/>
    </row>
    <row r="24" spans="1:17" ht="15.75" customHeight="1" x14ac:dyDescent="0.15">
      <c r="A24" s="5" t="str">
        <f t="shared" si="13"/>
        <v>Total</v>
      </c>
      <c r="B24" s="5" t="str">
        <f t="shared" si="14"/>
        <v>{{outputs.totalt1}}</v>
      </c>
      <c r="C24" s="2" t="s">
        <v>75</v>
      </c>
      <c r="D24" s="5" t="str">
        <f t="shared" si="15"/>
        <v>;</v>
      </c>
      <c r="E24" s="2" t="s">
        <v>76</v>
      </c>
      <c r="F24" s="33" t="str">
        <f>TEXT(ROUND(K19,0),"### ###")&amp;" per month / "&amp;TEXT(ROUND(K20,0),"### ###")&amp;" per year"</f>
        <v>11 900 per month / 142 800 per year</v>
      </c>
      <c r="G24" s="5" t="s">
        <v>77</v>
      </c>
      <c r="H24" s="22"/>
      <c r="I24" s="17"/>
      <c r="J24" s="34"/>
      <c r="K24" s="28"/>
      <c r="L24" s="16"/>
      <c r="N24" s="40"/>
      <c r="O24" s="40"/>
    </row>
    <row r="25" spans="1:17" ht="15.75" customHeight="1" x14ac:dyDescent="0.15">
      <c r="H25" s="14"/>
      <c r="I25" s="17"/>
      <c r="J25" s="34"/>
      <c r="K25" s="28"/>
      <c r="L25" s="16"/>
      <c r="N25" s="40"/>
      <c r="O25" s="40"/>
    </row>
    <row r="26" spans="1:17" ht="15.75" customHeight="1" x14ac:dyDescent="0.15">
      <c r="I26" s="17"/>
      <c r="K26" s="31"/>
      <c r="L26" s="16"/>
      <c r="M26" s="1" t="s">
        <v>78</v>
      </c>
      <c r="N26" s="40"/>
      <c r="O26" s="40"/>
    </row>
    <row r="27" spans="1:17" ht="15.75" customHeight="1" x14ac:dyDescent="0.15">
      <c r="A27" s="5" t="str">
        <f t="shared" ref="A27:A28" si="16">E27</f>
        <v>Cost operation</v>
      </c>
      <c r="B27" s="5" t="str">
        <f t="shared" ref="B27:B28" si="17">$A$3&amp;C27&amp;$C$3</f>
        <v>{{inputs.kostnaddrift}}</v>
      </c>
      <c r="C27" s="2" t="s">
        <v>79</v>
      </c>
      <c r="D27" s="5" t="str">
        <f t="shared" ref="D27:D28" si="18">";"</f>
        <v>;</v>
      </c>
      <c r="E27" s="22" t="s">
        <v>80</v>
      </c>
      <c r="F27" s="57">
        <v>5000</v>
      </c>
      <c r="G27" s="5" t="s">
        <v>81</v>
      </c>
      <c r="H27" s="12"/>
      <c r="I27" s="17"/>
      <c r="J27" s="22" t="s">
        <v>82</v>
      </c>
      <c r="K27" s="15">
        <f>SUM(F27:F29)</f>
        <v>5000</v>
      </c>
      <c r="L27" s="16"/>
      <c r="M27" s="2" t="s">
        <v>83</v>
      </c>
      <c r="N27" s="2" t="s">
        <v>84</v>
      </c>
      <c r="P27" s="1" t="s">
        <v>85</v>
      </c>
    </row>
    <row r="28" spans="1:17" ht="15.75" customHeight="1" x14ac:dyDescent="0.15">
      <c r="A28" s="5" t="str">
        <f t="shared" si="16"/>
        <v>Property fee</v>
      </c>
      <c r="B28" s="5" t="str">
        <f t="shared" si="17"/>
        <v>{{inputs.fastighetsavgift}}</v>
      </c>
      <c r="C28" s="2" t="s">
        <v>86</v>
      </c>
      <c r="D28" s="5" t="str">
        <f t="shared" si="18"/>
        <v>;</v>
      </c>
      <c r="E28" s="22" t="s">
        <v>87</v>
      </c>
      <c r="F28" s="57">
        <v>0</v>
      </c>
      <c r="G28" s="5" t="s">
        <v>88</v>
      </c>
      <c r="H28" s="12"/>
      <c r="I28" s="17"/>
      <c r="J28" s="34"/>
      <c r="K28" s="28"/>
      <c r="L28" s="16"/>
      <c r="M28" s="5" t="str">
        <f t="shared" ref="M28:M29" si="19">J8</f>
        <v>Interest expense</v>
      </c>
      <c r="N28" s="61">
        <f t="shared" ref="N28:N31" si="20">P28/SUM($P$28:$P$32)</f>
        <v>0.28994082840236685</v>
      </c>
      <c r="P28" s="45">
        <f t="shared" ref="P28:P29" si="21">K8</f>
        <v>4900</v>
      </c>
    </row>
    <row r="29" spans="1:17" ht="15.75" customHeight="1" x14ac:dyDescent="0.15">
      <c r="E29" s="34"/>
      <c r="F29" s="15">
        <v>0</v>
      </c>
      <c r="H29" s="12"/>
      <c r="I29" s="17"/>
      <c r="J29" s="22" t="s">
        <v>89</v>
      </c>
      <c r="K29" s="15">
        <f>K27+K21+O19</f>
        <v>16900</v>
      </c>
      <c r="L29" s="16"/>
      <c r="M29" s="5" t="str">
        <f t="shared" si="19"/>
        <v>Installment</v>
      </c>
      <c r="N29" s="61">
        <f t="shared" si="20"/>
        <v>0.41420118343195267</v>
      </c>
      <c r="P29" s="26">
        <f t="shared" si="21"/>
        <v>7000</v>
      </c>
    </row>
    <row r="30" spans="1:17" ht="15.75" customHeight="1" x14ac:dyDescent="0.15">
      <c r="A30" s="5" t="str">
        <f t="shared" ref="A30:A31" si="22">E30</f>
        <v>Operating cost</v>
      </c>
      <c r="B30" s="5" t="str">
        <f t="shared" ref="B30:B31" si="23">$B$3&amp;C30&amp;$C$3</f>
        <v>{{outputs.driftkostnad}}</v>
      </c>
      <c r="C30" s="2" t="s">
        <v>90</v>
      </c>
      <c r="D30" s="5" t="str">
        <f t="shared" ref="D30:D31" si="24">";"</f>
        <v>;</v>
      </c>
      <c r="E30" s="2" t="s">
        <v>91</v>
      </c>
      <c r="F30" s="33" t="str">
        <f>TEXT(ROUND(K27,0),"### ###")&amp;" per month / "&amp;TEXT(ROUND(K27,0)*12,"### ###")&amp;" per year"</f>
        <v>5 000 per month / 60 000 per year</v>
      </c>
      <c r="G30" s="5" t="s">
        <v>92</v>
      </c>
      <c r="H30" s="22"/>
      <c r="I30" s="35"/>
      <c r="J30" s="46" t="s">
        <v>93</v>
      </c>
      <c r="K30" s="47">
        <f>P20</f>
        <v>202800</v>
      </c>
      <c r="L30" s="37"/>
      <c r="M30" s="2" t="s">
        <v>94</v>
      </c>
      <c r="N30" s="61">
        <f t="shared" si="20"/>
        <v>0.29585798816568049</v>
      </c>
      <c r="P30" s="45">
        <f t="shared" ref="P30:P32" si="25">F27</f>
        <v>5000</v>
      </c>
    </row>
    <row r="31" spans="1:17" ht="15.75" customHeight="1" x14ac:dyDescent="0.15">
      <c r="A31" s="5" t="str">
        <f t="shared" si="22"/>
        <v>Housing cost per month</v>
      </c>
      <c r="B31" s="5" t="str">
        <f t="shared" si="23"/>
        <v>{{outputs.totalkostnad}}</v>
      </c>
      <c r="C31" s="2" t="s">
        <v>95</v>
      </c>
      <c r="D31" s="5" t="str">
        <f t="shared" si="24"/>
        <v>;</v>
      </c>
      <c r="E31" s="22" t="s">
        <v>89</v>
      </c>
      <c r="F31" s="33" t="str">
        <f>TEXT(ROUND(O20,0),"### ###")&amp;" per month / "&amp;TEXT(ROUND(O20,0)*12,"### ###")&amp;" per year"</f>
        <v>16 900 per month / 202 800 per year</v>
      </c>
      <c r="G31" s="5" t="s">
        <v>96</v>
      </c>
      <c r="H31" s="22"/>
      <c r="M31" s="2" t="s">
        <v>87</v>
      </c>
      <c r="N31" s="61">
        <f t="shared" si="20"/>
        <v>0</v>
      </c>
      <c r="P31" s="45">
        <f t="shared" si="25"/>
        <v>0</v>
      </c>
    </row>
    <row r="32" spans="1:17" ht="15.75" customHeight="1" x14ac:dyDescent="0.15">
      <c r="M32" s="31"/>
      <c r="N32" s="48"/>
      <c r="P32" s="45">
        <f t="shared" si="25"/>
        <v>0</v>
      </c>
    </row>
    <row r="33" spans="1:16" ht="15.75" customHeight="1" x14ac:dyDescent="0.15">
      <c r="A33" s="5" t="str">
        <f t="shared" ref="A33:A35" si="26">E33</f>
        <v>Interest expense / Operating cost</v>
      </c>
      <c r="B33" s="5" t="str">
        <f t="shared" ref="B33:B35" si="27">$B$3&amp;C33&amp;$C$3</f>
        <v>{{outputs.lanplusdrift}}</v>
      </c>
      <c r="C33" s="2" t="s">
        <v>97</v>
      </c>
      <c r="D33" s="5" t="str">
        <f t="shared" ref="D33:D35" si="28">";"</f>
        <v>;</v>
      </c>
      <c r="E33" s="2" t="s">
        <v>98</v>
      </c>
      <c r="F33" s="33" t="str">
        <f>TEXT(ROUND(K21,0),"### ###")&amp;" / "&amp;TEXT(ROUND(K27,0),"### ###")</f>
        <v>4 900 / 5 000</v>
      </c>
      <c r="G33" s="5" t="s">
        <v>99</v>
      </c>
    </row>
    <row r="34" spans="1:16" ht="15.75" customHeight="1" x14ac:dyDescent="0.15">
      <c r="A34" s="5" t="str">
        <f t="shared" si="26"/>
        <v>Amortization cost</v>
      </c>
      <c r="B34" s="5" t="str">
        <f t="shared" si="27"/>
        <v>{{outputs.amorteringskostnad}}</v>
      </c>
      <c r="C34" s="2" t="s">
        <v>100</v>
      </c>
      <c r="D34" s="5" t="str">
        <f t="shared" si="28"/>
        <v>;</v>
      </c>
      <c r="E34" s="2" t="s">
        <v>101</v>
      </c>
      <c r="F34" s="33" t="str">
        <f>TEXT(ROUND(K17,0),"### ###")</f>
        <v>7 000</v>
      </c>
      <c r="G34" s="5" t="s">
        <v>102</v>
      </c>
      <c r="M34" s="1" t="s">
        <v>103</v>
      </c>
    </row>
    <row r="35" spans="1:16" ht="15.75" customHeight="1" x14ac:dyDescent="0.15">
      <c r="A35" s="5" t="str">
        <f t="shared" si="26"/>
        <v>Total monthly cost</v>
      </c>
      <c r="B35" s="5" t="str">
        <f t="shared" si="27"/>
        <v>{{outputs.totalmanadskostnad}}</v>
      </c>
      <c r="C35" s="2" t="s">
        <v>104</v>
      </c>
      <c r="D35" s="5" t="str">
        <f t="shared" si="28"/>
        <v>;</v>
      </c>
      <c r="E35" s="2" t="s">
        <v>105</v>
      </c>
      <c r="F35" s="33" t="str">
        <f>TEXT(ROUND(K29,0),"### ###")</f>
        <v>16 900</v>
      </c>
      <c r="G35" s="5" t="s">
        <v>106</v>
      </c>
      <c r="M35" s="49" t="s">
        <v>107</v>
      </c>
      <c r="N35" s="49"/>
      <c r="O35" s="54" t="s">
        <v>137</v>
      </c>
      <c r="P35" s="54" t="s">
        <v>138</v>
      </c>
    </row>
    <row r="36" spans="1:16" ht="15.75" customHeight="1" x14ac:dyDescent="0.15">
      <c r="M36" s="49" t="s">
        <v>108</v>
      </c>
      <c r="N36" s="49" t="s">
        <v>109</v>
      </c>
    </row>
    <row r="37" spans="1:16" ht="15.75" customHeight="1" x14ac:dyDescent="0.15">
      <c r="M37" s="49" t="s">
        <v>110</v>
      </c>
      <c r="N37" s="49" t="s">
        <v>111</v>
      </c>
    </row>
    <row r="38" spans="1:16" ht="15.75" customHeight="1" x14ac:dyDescent="0.15">
      <c r="E38" s="1" t="s">
        <v>114</v>
      </c>
      <c r="M38" s="49" t="s">
        <v>112</v>
      </c>
      <c r="N38" s="49" t="s">
        <v>113</v>
      </c>
    </row>
    <row r="39" spans="1:16" ht="15.75" customHeight="1" x14ac:dyDescent="0.15">
      <c r="E39" s="60" t="s">
        <v>139</v>
      </c>
      <c r="M39" s="49" t="s">
        <v>115</v>
      </c>
      <c r="N39" s="49" t="s">
        <v>116</v>
      </c>
    </row>
    <row r="40" spans="1:16" ht="16" x14ac:dyDescent="0.2">
      <c r="E40" s="50" t="s">
        <v>117</v>
      </c>
      <c r="F40" s="51" t="s">
        <v>118</v>
      </c>
      <c r="M40" s="49" t="s">
        <v>119</v>
      </c>
      <c r="N40" s="49" t="b">
        <v>1</v>
      </c>
    </row>
    <row r="41" spans="1:16" ht="16" x14ac:dyDescent="0.2">
      <c r="E41" s="50" t="s">
        <v>120</v>
      </c>
      <c r="F41" s="51" t="s">
        <v>121</v>
      </c>
      <c r="M41" s="49" t="s">
        <v>122</v>
      </c>
      <c r="N41" s="49" t="b">
        <v>1</v>
      </c>
    </row>
    <row r="42" spans="1:16" ht="16" x14ac:dyDescent="0.2">
      <c r="E42" s="50" t="s">
        <v>123</v>
      </c>
      <c r="F42" s="51" t="s">
        <v>124</v>
      </c>
      <c r="M42" s="49" t="s">
        <v>125</v>
      </c>
      <c r="N42" s="49" t="b">
        <v>0</v>
      </c>
    </row>
    <row r="43" spans="1:16" ht="16" x14ac:dyDescent="0.2">
      <c r="E43" s="50" t="s">
        <v>126</v>
      </c>
      <c r="F43" s="51" t="s">
        <v>127</v>
      </c>
      <c r="M43" s="49" t="s">
        <v>128</v>
      </c>
      <c r="N43" s="49" t="b">
        <v>0</v>
      </c>
    </row>
    <row r="44" spans="1:16" ht="16" x14ac:dyDescent="0.2">
      <c r="E44" s="50" t="s">
        <v>129</v>
      </c>
      <c r="F44" s="52" t="s">
        <v>130</v>
      </c>
      <c r="M44" s="49" t="s">
        <v>131</v>
      </c>
      <c r="N44" s="49" t="b">
        <v>1</v>
      </c>
    </row>
    <row r="45" spans="1:16" x14ac:dyDescent="0.2">
      <c r="E45" s="50" t="s">
        <v>132</v>
      </c>
      <c r="F45" s="51" t="s">
        <v>133</v>
      </c>
    </row>
    <row r="46" spans="1:16" x14ac:dyDescent="0.2">
      <c r="E46" s="50" t="s">
        <v>134</v>
      </c>
      <c r="F46" s="53" t="b">
        <v>0</v>
      </c>
    </row>
    <row r="47" spans="1:16" x14ac:dyDescent="0.2">
      <c r="E47" s="2" t="s">
        <v>135</v>
      </c>
      <c r="F47" s="53" t="s">
        <v>136</v>
      </c>
    </row>
  </sheetData>
  <hyperlinks>
    <hyperlink ref="F44"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Mattias Hjortzberg</cp:lastModifiedBy>
  <dcterms:created xsi:type="dcterms:W3CDTF">2022-03-18T12:24:25Z</dcterms:created>
  <dcterms:modified xsi:type="dcterms:W3CDTF">2022-03-18T12:24:48Z</dcterms:modified>
</cp:coreProperties>
</file>